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 date1904="1"/>
  <mc:AlternateContent xmlns:mc="http://schemas.openxmlformats.org/markup-compatibility/2006">
    <mc:Choice Requires="x15">
      <x15ac:absPath xmlns:x15ac="http://schemas.microsoft.com/office/spreadsheetml/2010/11/ac" url="https://hennepin-my.sharepoint.com/personal/brett_hall_hennepin_us/Documents/Desktop/Commercial Training Course/Mock Trial/"/>
    </mc:Choice>
  </mc:AlternateContent>
  <xr:revisionPtr revIDLastSave="194" documentId="13_ncr:1_{6BB60919-AE2E-45E7-8DB3-07EE60A62739}" xr6:coauthVersionLast="47" xr6:coauthVersionMax="47" xr10:uidLastSave="{55920982-DC1F-4CC8-9F85-9212D9ACA81B}"/>
  <bookViews>
    <workbookView xWindow="-120" yWindow="-16320" windowWidth="29040" windowHeight="15840" tabRatio="417" xr2:uid="{00000000-000D-0000-FFFF-FFFF00000000}"/>
  </bookViews>
  <sheets>
    <sheet name="2019" sheetId="7" r:id="rId1"/>
    <sheet name="2018" sheetId="6" r:id="rId2"/>
    <sheet name="2017" sheetId="5" r:id="rId3"/>
    <sheet name="2016" sheetId="3" r:id="rId4"/>
    <sheet name="GIS" sheetId="4" r:id="rId5"/>
  </sheets>
  <definedNames>
    <definedName name="_xlnm.Print_Area" localSheetId="3">'2016'!$B$59:$D$73</definedName>
    <definedName name="_xlnm.Print_Area" localSheetId="2">'2017'!$B$59:$D$73</definedName>
    <definedName name="_xlnm.Print_Area" localSheetId="1">'2018'!$B$59:$D$73</definedName>
    <definedName name="_xlnm.Print_Area" localSheetId="0">'2019'!$B$65:$D$79</definedName>
  </definedNames>
  <calcPr calcId="191029" iterate="1" iterateCount="1000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T63" i="7" l="1"/>
  <c r="T62" i="7"/>
  <c r="R63" i="7"/>
  <c r="R62" i="7"/>
  <c r="P63" i="7"/>
  <c r="P62" i="7"/>
  <c r="N63" i="7"/>
  <c r="N62" i="7"/>
  <c r="L63" i="7"/>
  <c r="L62" i="7"/>
  <c r="J63" i="7"/>
  <c r="J62" i="7"/>
  <c r="H63" i="7"/>
  <c r="H62" i="7"/>
  <c r="T59" i="7"/>
  <c r="R59" i="7"/>
  <c r="P59" i="7"/>
  <c r="N59" i="7"/>
  <c r="L59" i="7"/>
  <c r="J59" i="7"/>
  <c r="H59" i="7"/>
  <c r="F59" i="7"/>
  <c r="S58" i="7"/>
  <c r="Q58" i="7"/>
  <c r="O58" i="7"/>
  <c r="M58" i="7"/>
  <c r="K58" i="7"/>
  <c r="I58" i="7"/>
  <c r="G58" i="7"/>
  <c r="E58" i="7"/>
  <c r="T56" i="7"/>
  <c r="R56" i="7"/>
  <c r="P56" i="7"/>
  <c r="N56" i="7"/>
  <c r="L56" i="7"/>
  <c r="J56" i="7"/>
  <c r="H56" i="7"/>
  <c r="F56" i="7"/>
  <c r="S55" i="7"/>
  <c r="Q55" i="7"/>
  <c r="O55" i="7"/>
  <c r="M55" i="7"/>
  <c r="K55" i="7"/>
  <c r="I55" i="7"/>
  <c r="G55" i="7"/>
  <c r="E55" i="7"/>
  <c r="T38" i="7"/>
  <c r="R38" i="7"/>
  <c r="P38" i="7"/>
  <c r="N38" i="7"/>
  <c r="L38" i="7"/>
  <c r="J38" i="7"/>
  <c r="H38" i="7"/>
  <c r="F38" i="7"/>
  <c r="D38" i="7"/>
  <c r="F10" i="7"/>
  <c r="H10" i="7"/>
  <c r="J10" i="7"/>
  <c r="L10" i="7"/>
  <c r="N10" i="7"/>
  <c r="P10" i="7"/>
  <c r="R10" i="7"/>
  <c r="T10" i="7"/>
  <c r="F11" i="7"/>
  <c r="H11" i="7"/>
  <c r="J11" i="7"/>
  <c r="L11" i="7"/>
  <c r="N11" i="7"/>
  <c r="P11" i="7"/>
  <c r="R11" i="7"/>
  <c r="T11" i="7"/>
  <c r="B65" i="7"/>
  <c r="R53" i="7"/>
  <c r="P53" i="7"/>
  <c r="L53" i="7"/>
  <c r="J53" i="7"/>
  <c r="H53" i="7"/>
  <c r="T53" i="7"/>
  <c r="D50" i="7"/>
  <c r="D74" i="7" s="1"/>
  <c r="D75" i="7" s="1"/>
  <c r="D78" i="7" s="1"/>
  <c r="S49" i="7"/>
  <c r="Q49" i="7"/>
  <c r="O49" i="7"/>
  <c r="M49" i="7"/>
  <c r="K49" i="7"/>
  <c r="I49" i="7"/>
  <c r="G49" i="7"/>
  <c r="E49" i="7"/>
  <c r="T47" i="7"/>
  <c r="R47" i="7"/>
  <c r="L47" i="7"/>
  <c r="J47" i="7"/>
  <c r="P41" i="7"/>
  <c r="L41" i="7"/>
  <c r="H41" i="7"/>
  <c r="T41" i="7"/>
  <c r="R41" i="7"/>
  <c r="N41" i="7"/>
  <c r="J41" i="7"/>
  <c r="F41" i="7"/>
  <c r="E34" i="7"/>
  <c r="T33" i="7"/>
  <c r="R33" i="7"/>
  <c r="P33" i="7"/>
  <c r="N33" i="7"/>
  <c r="L33" i="7"/>
  <c r="J33" i="7"/>
  <c r="I33" i="7"/>
  <c r="I34" i="7" s="1"/>
  <c r="H33" i="7"/>
  <c r="G33" i="7"/>
  <c r="G34" i="7" s="1"/>
  <c r="F33" i="7"/>
  <c r="N31" i="7"/>
  <c r="H31" i="7"/>
  <c r="F31" i="7"/>
  <c r="J23" i="7"/>
  <c r="S22" i="7"/>
  <c r="Q22" i="7"/>
  <c r="O22" i="7"/>
  <c r="M22" i="7"/>
  <c r="K22" i="7"/>
  <c r="I22" i="7"/>
  <c r="G22" i="7"/>
  <c r="E22" i="7"/>
  <c r="S21" i="7"/>
  <c r="T23" i="7" s="1"/>
  <c r="Q21" i="7"/>
  <c r="R23" i="7" s="1"/>
  <c r="O21" i="7"/>
  <c r="P23" i="7" s="1"/>
  <c r="M21" i="7"/>
  <c r="N23" i="7" s="1"/>
  <c r="K21" i="7"/>
  <c r="L23" i="7" s="1"/>
  <c r="G21" i="7"/>
  <c r="H23" i="7" s="1"/>
  <c r="E21" i="7"/>
  <c r="F23" i="7" s="1"/>
  <c r="T19" i="7"/>
  <c r="R19" i="7"/>
  <c r="P19" i="7"/>
  <c r="N19" i="7"/>
  <c r="L19" i="7"/>
  <c r="J19" i="7"/>
  <c r="H19" i="7"/>
  <c r="F19" i="7"/>
  <c r="S18" i="7"/>
  <c r="Q18" i="7"/>
  <c r="O18" i="7"/>
  <c r="M18" i="7"/>
  <c r="K18" i="7"/>
  <c r="I18" i="7"/>
  <c r="G18" i="7"/>
  <c r="E18" i="7"/>
  <c r="T16" i="7"/>
  <c r="R16" i="7"/>
  <c r="P16" i="7"/>
  <c r="N16" i="7"/>
  <c r="L16" i="7"/>
  <c r="J16" i="7"/>
  <c r="H16" i="7"/>
  <c r="F16" i="7"/>
  <c r="K33" i="7" l="1"/>
  <c r="M33" i="7" s="1"/>
  <c r="M34" i="7" s="1"/>
  <c r="L50" i="7"/>
  <c r="Q33" i="7"/>
  <c r="Q34" i="7" s="1"/>
  <c r="H50" i="7"/>
  <c r="J50" i="7"/>
  <c r="P50" i="7"/>
  <c r="T50" i="7"/>
  <c r="O33" i="7"/>
  <c r="O34" i="7" s="1"/>
  <c r="S33" i="7"/>
  <c r="S34" i="7" s="1"/>
  <c r="H25" i="7"/>
  <c r="H26" i="7" s="1"/>
  <c r="L25" i="7"/>
  <c r="R50" i="7"/>
  <c r="N25" i="7"/>
  <c r="N26" i="7" s="1"/>
  <c r="R25" i="7"/>
  <c r="F25" i="7"/>
  <c r="P25" i="7"/>
  <c r="P26" i="7" s="1"/>
  <c r="T25" i="7"/>
  <c r="T26" i="7" s="1"/>
  <c r="J25" i="7"/>
  <c r="J26" i="7" s="1"/>
  <c r="N53" i="7"/>
  <c r="K34" i="7"/>
  <c r="N50" i="7"/>
  <c r="F50" i="7"/>
  <c r="F53" i="7"/>
  <c r="T63" i="3"/>
  <c r="R63" i="3"/>
  <c r="P63" i="3"/>
  <c r="N63" i="3"/>
  <c r="L63" i="3"/>
  <c r="J63" i="3"/>
  <c r="H63" i="3"/>
  <c r="F63" i="3"/>
  <c r="O28" i="7" l="1"/>
  <c r="P29" i="7"/>
  <c r="N28" i="7"/>
  <c r="N29" i="7" s="1"/>
  <c r="T29" i="7"/>
  <c r="S28" i="7"/>
  <c r="J29" i="7"/>
  <c r="I28" i="7"/>
  <c r="L26" i="7"/>
  <c r="H29" i="7"/>
  <c r="G28" i="7"/>
  <c r="F26" i="7"/>
  <c r="R26" i="7"/>
  <c r="B59" i="6"/>
  <c r="T54" i="6"/>
  <c r="R54" i="6"/>
  <c r="P54" i="6"/>
  <c r="P53" i="6" s="1"/>
  <c r="N54" i="6"/>
  <c r="L54" i="6"/>
  <c r="J54" i="6"/>
  <c r="H54" i="6"/>
  <c r="H53" i="6" s="1"/>
  <c r="F54" i="6"/>
  <c r="T53" i="6"/>
  <c r="R53" i="6"/>
  <c r="L53" i="6"/>
  <c r="J53" i="6"/>
  <c r="T51" i="6"/>
  <c r="R51" i="6"/>
  <c r="P51" i="6"/>
  <c r="P50" i="6" s="1"/>
  <c r="N51" i="6"/>
  <c r="L51" i="6"/>
  <c r="J51" i="6"/>
  <c r="H51" i="6"/>
  <c r="H50" i="6" s="1"/>
  <c r="F51" i="6"/>
  <c r="T50" i="6"/>
  <c r="R50" i="6"/>
  <c r="L50" i="6"/>
  <c r="J50" i="6"/>
  <c r="J47" i="6"/>
  <c r="D47" i="6"/>
  <c r="H48" i="6" s="1"/>
  <c r="H47" i="6" s="1"/>
  <c r="S46" i="6"/>
  <c r="T48" i="6" s="1"/>
  <c r="T47" i="6" s="1"/>
  <c r="Q46" i="6"/>
  <c r="R48" i="6" s="1"/>
  <c r="O46" i="6"/>
  <c r="M46" i="6"/>
  <c r="N48" i="6" s="1"/>
  <c r="K46" i="6"/>
  <c r="L48" i="6" s="1"/>
  <c r="L47" i="6" s="1"/>
  <c r="I46" i="6"/>
  <c r="J48" i="6" s="1"/>
  <c r="G46" i="6"/>
  <c r="E46" i="6"/>
  <c r="F48" i="6" s="1"/>
  <c r="AE45" i="6"/>
  <c r="AD45" i="6"/>
  <c r="E45" i="6"/>
  <c r="T44" i="6"/>
  <c r="R44" i="6"/>
  <c r="L44" i="6"/>
  <c r="J44" i="6"/>
  <c r="S42" i="6"/>
  <c r="Q42" i="6"/>
  <c r="O42" i="6"/>
  <c r="M42" i="6"/>
  <c r="K42" i="6"/>
  <c r="I42" i="6"/>
  <c r="G42" i="6"/>
  <c r="E42" i="6"/>
  <c r="P39" i="6"/>
  <c r="L39" i="6"/>
  <c r="L38" i="6" s="1"/>
  <c r="H39" i="6"/>
  <c r="H38" i="6" s="1"/>
  <c r="T38" i="6"/>
  <c r="R38" i="6"/>
  <c r="P38" i="6"/>
  <c r="N38" i="6"/>
  <c r="J38" i="6"/>
  <c r="F38" i="6"/>
  <c r="E34" i="6"/>
  <c r="T33" i="6"/>
  <c r="R33" i="6"/>
  <c r="P33" i="6"/>
  <c r="N33" i="6"/>
  <c r="L33" i="6"/>
  <c r="J33" i="6"/>
  <c r="I33" i="6"/>
  <c r="I34" i="6" s="1"/>
  <c r="H33" i="6"/>
  <c r="G33" i="6"/>
  <c r="G34" i="6" s="1"/>
  <c r="F33" i="6"/>
  <c r="N31" i="6"/>
  <c r="H31" i="6"/>
  <c r="F31" i="6"/>
  <c r="H26" i="6"/>
  <c r="J25" i="6"/>
  <c r="P23" i="6"/>
  <c r="P25" i="6" s="1"/>
  <c r="N23" i="6"/>
  <c r="N25" i="6" s="1"/>
  <c r="J23" i="6"/>
  <c r="H23" i="6"/>
  <c r="H25" i="6" s="1"/>
  <c r="F23" i="6"/>
  <c r="V23" i="6" s="1"/>
  <c r="S22" i="6"/>
  <c r="Q22" i="6"/>
  <c r="O22" i="6"/>
  <c r="M22" i="6"/>
  <c r="K22" i="6"/>
  <c r="I22" i="6"/>
  <c r="G22" i="6"/>
  <c r="E22" i="6"/>
  <c r="S21" i="6"/>
  <c r="T23" i="6" s="1"/>
  <c r="Q21" i="6"/>
  <c r="R23" i="6" s="1"/>
  <c r="R25" i="6" s="1"/>
  <c r="O21" i="6"/>
  <c r="M21" i="6"/>
  <c r="K21" i="6"/>
  <c r="L23" i="6" s="1"/>
  <c r="G21" i="6"/>
  <c r="E21" i="6"/>
  <c r="T19" i="6"/>
  <c r="R19" i="6"/>
  <c r="P19" i="6"/>
  <c r="N19" i="6"/>
  <c r="L19" i="6"/>
  <c r="J19" i="6"/>
  <c r="H19" i="6"/>
  <c r="F19" i="6"/>
  <c r="S18" i="6"/>
  <c r="Q18" i="6"/>
  <c r="O18" i="6"/>
  <c r="M18" i="6"/>
  <c r="K18" i="6"/>
  <c r="I18" i="6"/>
  <c r="G18" i="6"/>
  <c r="E18" i="6"/>
  <c r="T16" i="6"/>
  <c r="R16" i="6"/>
  <c r="P16" i="6"/>
  <c r="N16" i="6"/>
  <c r="L16" i="6"/>
  <c r="J16" i="6"/>
  <c r="H16" i="6"/>
  <c r="F16" i="6"/>
  <c r="T11" i="6"/>
  <c r="R11" i="6"/>
  <c r="P11" i="6"/>
  <c r="N11" i="6"/>
  <c r="L11" i="6"/>
  <c r="J11" i="6"/>
  <c r="H11" i="6"/>
  <c r="F11" i="6"/>
  <c r="T10" i="6"/>
  <c r="R10" i="6"/>
  <c r="P10" i="6"/>
  <c r="N10" i="6"/>
  <c r="L10" i="6"/>
  <c r="J10" i="6"/>
  <c r="H10" i="6"/>
  <c r="F10" i="6"/>
  <c r="B59" i="5"/>
  <c r="T54" i="5"/>
  <c r="R54" i="5"/>
  <c r="P54" i="5"/>
  <c r="N54" i="5"/>
  <c r="L54" i="5"/>
  <c r="J54" i="5"/>
  <c r="H54" i="5"/>
  <c r="F54" i="5"/>
  <c r="T53" i="5"/>
  <c r="R53" i="5"/>
  <c r="P53" i="5"/>
  <c r="N53" i="5"/>
  <c r="L53" i="5"/>
  <c r="J53" i="5"/>
  <c r="H53" i="5"/>
  <c r="F53" i="5"/>
  <c r="T51" i="5"/>
  <c r="R51" i="5"/>
  <c r="P51" i="5"/>
  <c r="N51" i="5"/>
  <c r="L51" i="5"/>
  <c r="J51" i="5"/>
  <c r="H51" i="5"/>
  <c r="F51" i="5"/>
  <c r="T50" i="5"/>
  <c r="R50" i="5"/>
  <c r="P50" i="5"/>
  <c r="N50" i="5"/>
  <c r="L50" i="5"/>
  <c r="J50" i="5"/>
  <c r="H50" i="5"/>
  <c r="F50" i="5"/>
  <c r="D47" i="5"/>
  <c r="D68" i="5" s="1"/>
  <c r="D69" i="5" s="1"/>
  <c r="D72" i="5" s="1"/>
  <c r="S46" i="5"/>
  <c r="T48" i="5" s="1"/>
  <c r="Q46" i="5"/>
  <c r="R48" i="5" s="1"/>
  <c r="O46" i="5"/>
  <c r="P48" i="5" s="1"/>
  <c r="M46" i="5"/>
  <c r="N48" i="5" s="1"/>
  <c r="K46" i="5"/>
  <c r="L48" i="5" s="1"/>
  <c r="I46" i="5"/>
  <c r="J48" i="5" s="1"/>
  <c r="G46" i="5"/>
  <c r="H48" i="5" s="1"/>
  <c r="E46" i="5"/>
  <c r="F48" i="5" s="1"/>
  <c r="AE45" i="5"/>
  <c r="M45" i="5" s="1"/>
  <c r="AD45" i="5"/>
  <c r="E45" i="5"/>
  <c r="T44" i="5"/>
  <c r="R44" i="5"/>
  <c r="L44" i="5"/>
  <c r="J44" i="5"/>
  <c r="S42" i="5"/>
  <c r="Q42" i="5"/>
  <c r="O42" i="5"/>
  <c r="M42" i="5"/>
  <c r="K42" i="5"/>
  <c r="I42" i="5"/>
  <c r="G42" i="5"/>
  <c r="E42" i="5"/>
  <c r="P39" i="5"/>
  <c r="P38" i="5" s="1"/>
  <c r="L39" i="5"/>
  <c r="H39" i="5"/>
  <c r="H38" i="5" s="1"/>
  <c r="T38" i="5"/>
  <c r="R38" i="5"/>
  <c r="N38" i="5"/>
  <c r="L38" i="5"/>
  <c r="J38" i="5"/>
  <c r="F38" i="5"/>
  <c r="E34" i="5"/>
  <c r="T33" i="5"/>
  <c r="R33" i="5"/>
  <c r="P33" i="5"/>
  <c r="N33" i="5"/>
  <c r="L33" i="5"/>
  <c r="J33" i="5"/>
  <c r="I33" i="5"/>
  <c r="I34" i="5" s="1"/>
  <c r="H33" i="5"/>
  <c r="G33" i="5"/>
  <c r="G34" i="5" s="1"/>
  <c r="F33" i="5"/>
  <c r="N31" i="5"/>
  <c r="H31" i="5"/>
  <c r="F31" i="5"/>
  <c r="J25" i="5"/>
  <c r="J23" i="5"/>
  <c r="J26" i="5" s="1"/>
  <c r="H23" i="5"/>
  <c r="H25" i="5" s="1"/>
  <c r="F23" i="5"/>
  <c r="S22" i="5"/>
  <c r="Q22" i="5"/>
  <c r="O22" i="5"/>
  <c r="M22" i="5"/>
  <c r="K22" i="5"/>
  <c r="I22" i="5"/>
  <c r="G22" i="5"/>
  <c r="E22" i="5"/>
  <c r="S21" i="5"/>
  <c r="T23" i="5" s="1"/>
  <c r="Q21" i="5"/>
  <c r="R23" i="5" s="1"/>
  <c r="O21" i="5"/>
  <c r="P23" i="5" s="1"/>
  <c r="M21" i="5"/>
  <c r="N23" i="5" s="1"/>
  <c r="K21" i="5"/>
  <c r="L23" i="5" s="1"/>
  <c r="G21" i="5"/>
  <c r="E21" i="5"/>
  <c r="T19" i="5"/>
  <c r="R19" i="5"/>
  <c r="P19" i="5"/>
  <c r="N19" i="5"/>
  <c r="L19" i="5"/>
  <c r="J19" i="5"/>
  <c r="H19" i="5"/>
  <c r="F19" i="5"/>
  <c r="S18" i="5"/>
  <c r="Q18" i="5"/>
  <c r="O18" i="5"/>
  <c r="M18" i="5"/>
  <c r="K18" i="5"/>
  <c r="I18" i="5"/>
  <c r="G18" i="5"/>
  <c r="E18" i="5"/>
  <c r="T16" i="5"/>
  <c r="R16" i="5"/>
  <c r="P16" i="5"/>
  <c r="N16" i="5"/>
  <c r="L16" i="5"/>
  <c r="J16" i="5"/>
  <c r="H16" i="5"/>
  <c r="F16" i="5"/>
  <c r="T11" i="5"/>
  <c r="R11" i="5"/>
  <c r="P11" i="5"/>
  <c r="N11" i="5"/>
  <c r="L11" i="5"/>
  <c r="J11" i="5"/>
  <c r="H11" i="5"/>
  <c r="F11" i="5"/>
  <c r="T10" i="5"/>
  <c r="R10" i="5"/>
  <c r="P10" i="5"/>
  <c r="N10" i="5"/>
  <c r="L10" i="5"/>
  <c r="J10" i="5"/>
  <c r="H10" i="5"/>
  <c r="F10" i="5"/>
  <c r="L29" i="7" l="1"/>
  <c r="K28" i="7"/>
  <c r="H32" i="7"/>
  <c r="N32" i="7"/>
  <c r="M31" i="7"/>
  <c r="F29" i="7"/>
  <c r="E28" i="7"/>
  <c r="P31" i="7"/>
  <c r="R29" i="7"/>
  <c r="Q28" i="7"/>
  <c r="J31" i="7"/>
  <c r="J32" i="7"/>
  <c r="T31" i="7"/>
  <c r="T26" i="6"/>
  <c r="V26" i="6"/>
  <c r="V27" i="6"/>
  <c r="N26" i="6"/>
  <c r="R47" i="6"/>
  <c r="F47" i="6"/>
  <c r="N47" i="6"/>
  <c r="V25" i="6"/>
  <c r="F25" i="6"/>
  <c r="L25" i="6"/>
  <c r="L26" i="6" s="1"/>
  <c r="H29" i="6"/>
  <c r="H32" i="6" s="1"/>
  <c r="G28" i="6"/>
  <c r="R26" i="6"/>
  <c r="J26" i="6"/>
  <c r="V24" i="6"/>
  <c r="T25" i="6"/>
  <c r="P26" i="6"/>
  <c r="M45" i="6"/>
  <c r="O45" i="6"/>
  <c r="G45" i="6"/>
  <c r="P48" i="6"/>
  <c r="K33" i="6"/>
  <c r="F50" i="6"/>
  <c r="N50" i="6"/>
  <c r="F53" i="6"/>
  <c r="N53" i="6"/>
  <c r="D68" i="6"/>
  <c r="D69" i="6" s="1"/>
  <c r="D72" i="6" s="1"/>
  <c r="P25" i="5"/>
  <c r="P26" i="5" s="1"/>
  <c r="L47" i="5"/>
  <c r="T47" i="5"/>
  <c r="J47" i="5"/>
  <c r="F47" i="5"/>
  <c r="N47" i="5"/>
  <c r="N25" i="5"/>
  <c r="N26" i="5" s="1"/>
  <c r="R47" i="5"/>
  <c r="R25" i="5"/>
  <c r="R26" i="5" s="1"/>
  <c r="J29" i="5"/>
  <c r="I28" i="5"/>
  <c r="L26" i="5"/>
  <c r="L25" i="5"/>
  <c r="T25" i="5"/>
  <c r="H47" i="5"/>
  <c r="P47" i="5"/>
  <c r="V24" i="5"/>
  <c r="H26" i="5"/>
  <c r="V27" i="5"/>
  <c r="X25" i="5" s="1"/>
  <c r="G45" i="5"/>
  <c r="O45" i="5"/>
  <c r="V23" i="5"/>
  <c r="V26" i="5"/>
  <c r="F25" i="5"/>
  <c r="F26" i="5" s="1"/>
  <c r="V25" i="5"/>
  <c r="K33" i="5"/>
  <c r="N31" i="3"/>
  <c r="N10" i="3"/>
  <c r="L31" i="7" l="1"/>
  <c r="L32" i="7" s="1"/>
  <c r="T32" i="7"/>
  <c r="F32" i="7"/>
  <c r="F34" i="7" s="1"/>
  <c r="E31" i="7"/>
  <c r="N34" i="7"/>
  <c r="N35" i="7" s="1"/>
  <c r="N61" i="7" s="1"/>
  <c r="P32" i="7"/>
  <c r="J34" i="7"/>
  <c r="R31" i="7"/>
  <c r="H34" i="7"/>
  <c r="L29" i="6"/>
  <c r="K28" i="6"/>
  <c r="J29" i="6"/>
  <c r="I28" i="6"/>
  <c r="P47" i="6"/>
  <c r="F26" i="6"/>
  <c r="N28" i="6"/>
  <c r="N29" i="6" s="1"/>
  <c r="X25" i="6"/>
  <c r="K34" i="6"/>
  <c r="Q33" i="6"/>
  <c r="Q34" i="6" s="1"/>
  <c r="M33" i="6"/>
  <c r="P29" i="6"/>
  <c r="O28" i="6"/>
  <c r="R29" i="6"/>
  <c r="Q28" i="6"/>
  <c r="S28" i="6"/>
  <c r="T29" i="6"/>
  <c r="H34" i="6"/>
  <c r="H35" i="6" s="1"/>
  <c r="G31" i="6"/>
  <c r="F29" i="5"/>
  <c r="E28" i="5"/>
  <c r="N28" i="5"/>
  <c r="R29" i="5"/>
  <c r="Q28" i="5"/>
  <c r="P29" i="5"/>
  <c r="O28" i="5"/>
  <c r="H29" i="5"/>
  <c r="G28" i="5"/>
  <c r="T26" i="5"/>
  <c r="J31" i="5"/>
  <c r="K34" i="5"/>
  <c r="Q33" i="5"/>
  <c r="Q34" i="5" s="1"/>
  <c r="M33" i="5"/>
  <c r="L29" i="5"/>
  <c r="K28" i="5"/>
  <c r="T54" i="3"/>
  <c r="R54" i="3"/>
  <c r="P54" i="3"/>
  <c r="N54" i="3"/>
  <c r="L54" i="3"/>
  <c r="J54" i="3"/>
  <c r="H54" i="3"/>
  <c r="F54" i="3"/>
  <c r="F63" i="7" l="1"/>
  <c r="F62" i="7"/>
  <c r="F35" i="7"/>
  <c r="F61" i="7" s="1"/>
  <c r="J35" i="7"/>
  <c r="J61" i="7" s="1"/>
  <c r="T34" i="7"/>
  <c r="T35" i="7" s="1"/>
  <c r="T61" i="7" s="1"/>
  <c r="P34" i="7"/>
  <c r="P35" i="7" s="1"/>
  <c r="P61" i="7" s="1"/>
  <c r="L34" i="7"/>
  <c r="L35" i="7" s="1"/>
  <c r="L61" i="7" s="1"/>
  <c r="R32" i="7"/>
  <c r="N44" i="7"/>
  <c r="N47" i="7"/>
  <c r="H35" i="7"/>
  <c r="H61" i="7" s="1"/>
  <c r="M31" i="6"/>
  <c r="N32" i="6"/>
  <c r="G54" i="6"/>
  <c r="G51" i="6"/>
  <c r="H42" i="6"/>
  <c r="H41" i="6" s="1"/>
  <c r="G48" i="6"/>
  <c r="H45" i="6"/>
  <c r="H44" i="6" s="1"/>
  <c r="T31" i="6"/>
  <c r="J32" i="6"/>
  <c r="J31" i="6"/>
  <c r="R31" i="6"/>
  <c r="P32" i="6"/>
  <c r="P31" i="6"/>
  <c r="S33" i="6"/>
  <c r="S34" i="6" s="1"/>
  <c r="O33" i="6"/>
  <c r="O34" i="6" s="1"/>
  <c r="M34" i="6"/>
  <c r="F29" i="6"/>
  <c r="E28" i="6"/>
  <c r="L31" i="6"/>
  <c r="L32" i="6"/>
  <c r="H32" i="5"/>
  <c r="G31" i="5"/>
  <c r="P31" i="5"/>
  <c r="N29" i="5"/>
  <c r="S33" i="5"/>
  <c r="S34" i="5" s="1"/>
  <c r="O33" i="5"/>
  <c r="O34" i="5" s="1"/>
  <c r="M34" i="5"/>
  <c r="J32" i="5"/>
  <c r="L31" i="5"/>
  <c r="L32" i="5"/>
  <c r="T29" i="5"/>
  <c r="S28" i="5"/>
  <c r="R31" i="5"/>
  <c r="E31" i="5"/>
  <c r="F32" i="5"/>
  <c r="F34" i="5" s="1"/>
  <c r="H31" i="3"/>
  <c r="H10" i="3"/>
  <c r="I33" i="3"/>
  <c r="I34" i="3" s="1"/>
  <c r="I46" i="3"/>
  <c r="J44" i="3"/>
  <c r="I42" i="3"/>
  <c r="J38" i="3"/>
  <c r="J33" i="3"/>
  <c r="I22" i="3"/>
  <c r="J23" i="3"/>
  <c r="J19" i="3"/>
  <c r="I18" i="3"/>
  <c r="J16" i="3"/>
  <c r="J11" i="3"/>
  <c r="J10" i="3"/>
  <c r="E34" i="3"/>
  <c r="AE45" i="3"/>
  <c r="M45" i="3" s="1"/>
  <c r="AD45" i="3"/>
  <c r="E45" i="3" s="1"/>
  <c r="R16" i="3"/>
  <c r="T11" i="3"/>
  <c r="T10" i="3"/>
  <c r="R11" i="3"/>
  <c r="R10" i="3"/>
  <c r="Q46" i="3"/>
  <c r="R44" i="3"/>
  <c r="Q42" i="3"/>
  <c r="R38" i="3"/>
  <c r="R33" i="3"/>
  <c r="Q22" i="3"/>
  <c r="Q21" i="3"/>
  <c r="R23" i="3" s="1"/>
  <c r="R19" i="3"/>
  <c r="Q18" i="3"/>
  <c r="S46" i="3"/>
  <c r="T44" i="3"/>
  <c r="S42" i="3"/>
  <c r="T38" i="3"/>
  <c r="T33" i="3"/>
  <c r="S22" i="3"/>
  <c r="S21" i="3"/>
  <c r="T23" i="3" s="1"/>
  <c r="T19" i="3"/>
  <c r="S18" i="3"/>
  <c r="T16" i="3"/>
  <c r="J51" i="3"/>
  <c r="M21" i="3"/>
  <c r="N23" i="3" s="1"/>
  <c r="N25" i="3" s="1"/>
  <c r="N26" i="3" s="1"/>
  <c r="M42" i="3"/>
  <c r="M46" i="3"/>
  <c r="D47" i="3"/>
  <c r="N48" i="3" s="1"/>
  <c r="N47" i="3" s="1"/>
  <c r="H39" i="3"/>
  <c r="H38" i="3" s="1"/>
  <c r="G46" i="3"/>
  <c r="G21" i="3"/>
  <c r="H23" i="3" s="1"/>
  <c r="H25" i="3" s="1"/>
  <c r="H26" i="3" s="1"/>
  <c r="G42" i="3"/>
  <c r="L39" i="3"/>
  <c r="L38" i="3" s="1"/>
  <c r="K46" i="3"/>
  <c r="K21" i="3"/>
  <c r="L23" i="3" s="1"/>
  <c r="K42" i="3"/>
  <c r="L44" i="3"/>
  <c r="P39" i="3"/>
  <c r="P38" i="3" s="1"/>
  <c r="O46" i="3"/>
  <c r="O21" i="3"/>
  <c r="P23" i="3" s="1"/>
  <c r="O42" i="3"/>
  <c r="E46" i="3"/>
  <c r="E21" i="3"/>
  <c r="F23" i="3" s="1"/>
  <c r="F25" i="3" s="1"/>
  <c r="F26" i="3" s="1"/>
  <c r="F31" i="3"/>
  <c r="E42" i="3"/>
  <c r="G33" i="3"/>
  <c r="K33" i="3" s="1"/>
  <c r="N11" i="3"/>
  <c r="N16" i="3"/>
  <c r="M18" i="3"/>
  <c r="N19" i="3"/>
  <c r="M22" i="3"/>
  <c r="N33" i="3"/>
  <c r="N38" i="3"/>
  <c r="L33" i="3"/>
  <c r="K22" i="3"/>
  <c r="L19" i="3"/>
  <c r="K18" i="3"/>
  <c r="L16" i="3"/>
  <c r="L11" i="3"/>
  <c r="L10" i="3"/>
  <c r="F38" i="3"/>
  <c r="O22" i="3"/>
  <c r="G22" i="3"/>
  <c r="P16" i="3"/>
  <c r="P19" i="3"/>
  <c r="H16" i="3"/>
  <c r="H19" i="3"/>
  <c r="P33" i="3"/>
  <c r="O18" i="3"/>
  <c r="P11" i="3"/>
  <c r="P10" i="3"/>
  <c r="H33" i="3"/>
  <c r="G18" i="3"/>
  <c r="H11" i="3"/>
  <c r="E22" i="3"/>
  <c r="F33" i="3"/>
  <c r="B59" i="3"/>
  <c r="F19" i="3"/>
  <c r="E18" i="3"/>
  <c r="F16" i="3"/>
  <c r="F11" i="3"/>
  <c r="F10" i="3"/>
  <c r="T51" i="3"/>
  <c r="N51" i="3"/>
  <c r="N50" i="3" s="1"/>
  <c r="H51" i="3"/>
  <c r="R51" i="3"/>
  <c r="L51" i="3"/>
  <c r="P51" i="3"/>
  <c r="F51" i="3"/>
  <c r="F47" i="7" l="1"/>
  <c r="L44" i="7"/>
  <c r="R34" i="7"/>
  <c r="T44" i="7"/>
  <c r="P44" i="7"/>
  <c r="P47" i="7"/>
  <c r="H47" i="7"/>
  <c r="H56" i="6"/>
  <c r="H60" i="6"/>
  <c r="H57" i="6"/>
  <c r="P34" i="6"/>
  <c r="P35" i="6" s="1"/>
  <c r="H55" i="6"/>
  <c r="L34" i="6"/>
  <c r="L35" i="6" s="1"/>
  <c r="R32" i="6"/>
  <c r="T32" i="6"/>
  <c r="N34" i="6"/>
  <c r="N35" i="6" s="1"/>
  <c r="J34" i="6"/>
  <c r="J35" i="6" s="1"/>
  <c r="F32" i="6"/>
  <c r="F34" i="6" s="1"/>
  <c r="E31" i="6"/>
  <c r="T31" i="5"/>
  <c r="T32" i="5"/>
  <c r="H34" i="5"/>
  <c r="H35" i="5"/>
  <c r="L34" i="5"/>
  <c r="L35" i="5"/>
  <c r="J34" i="5"/>
  <c r="J35" i="5" s="1"/>
  <c r="R32" i="5"/>
  <c r="P32" i="5"/>
  <c r="M31" i="5"/>
  <c r="N32" i="5"/>
  <c r="F35" i="5"/>
  <c r="F48" i="3"/>
  <c r="F47" i="3" s="1"/>
  <c r="D68" i="3"/>
  <c r="D69" i="3" s="1"/>
  <c r="D72" i="3" s="1"/>
  <c r="R48" i="3"/>
  <c r="R47" i="3" s="1"/>
  <c r="T48" i="3"/>
  <c r="T47" i="3" s="1"/>
  <c r="H48" i="3"/>
  <c r="H47" i="3" s="1"/>
  <c r="L50" i="3"/>
  <c r="J50" i="3"/>
  <c r="R50" i="3"/>
  <c r="F50" i="3"/>
  <c r="H50" i="3"/>
  <c r="T50" i="3"/>
  <c r="P50" i="3"/>
  <c r="P25" i="3"/>
  <c r="L25" i="3"/>
  <c r="L26" i="3" s="1"/>
  <c r="Q33" i="3"/>
  <c r="Q34" i="3" s="1"/>
  <c r="M33" i="3"/>
  <c r="K34" i="3"/>
  <c r="P48" i="3"/>
  <c r="L48" i="3"/>
  <c r="G34" i="3"/>
  <c r="J48" i="3"/>
  <c r="T25" i="3"/>
  <c r="G28" i="3"/>
  <c r="H29" i="3"/>
  <c r="H32" i="3" s="1"/>
  <c r="H34" i="3" s="1"/>
  <c r="H35" i="3" s="1"/>
  <c r="G54" i="3" s="1"/>
  <c r="V25" i="3"/>
  <c r="J25" i="3"/>
  <c r="J26" i="3" s="1"/>
  <c r="V27" i="3"/>
  <c r="V23" i="3"/>
  <c r="V26" i="3"/>
  <c r="V24" i="3"/>
  <c r="N28" i="3"/>
  <c r="N29" i="3" s="1"/>
  <c r="E28" i="3"/>
  <c r="F29" i="3"/>
  <c r="F32" i="3" s="1"/>
  <c r="F34" i="3" s="1"/>
  <c r="F35" i="3" s="1"/>
  <c r="E54" i="3" s="1"/>
  <c r="G31" i="3"/>
  <c r="R25" i="3"/>
  <c r="R26" i="3" s="1"/>
  <c r="O45" i="3"/>
  <c r="G45" i="3"/>
  <c r="H53" i="3"/>
  <c r="J44" i="7" l="1"/>
  <c r="R35" i="7"/>
  <c r="R61" i="7" s="1"/>
  <c r="H44" i="7"/>
  <c r="F44" i="7"/>
  <c r="K54" i="6"/>
  <c r="K51" i="6"/>
  <c r="K48" i="6"/>
  <c r="L42" i="6"/>
  <c r="L41" i="6" s="1"/>
  <c r="N42" i="6"/>
  <c r="N41" i="6" s="1"/>
  <c r="M54" i="6"/>
  <c r="M48" i="6"/>
  <c r="M51" i="6"/>
  <c r="N45" i="6"/>
  <c r="N44" i="6" s="1"/>
  <c r="J42" i="6"/>
  <c r="J60" i="6" s="1"/>
  <c r="I54" i="6"/>
  <c r="I48" i="6"/>
  <c r="I51" i="6"/>
  <c r="F35" i="6"/>
  <c r="L57" i="6"/>
  <c r="O54" i="6"/>
  <c r="O51" i="6"/>
  <c r="P42" i="6"/>
  <c r="O48" i="6"/>
  <c r="P45" i="6"/>
  <c r="P44" i="6" s="1"/>
  <c r="R34" i="6"/>
  <c r="R35" i="6" s="1"/>
  <c r="N56" i="6"/>
  <c r="N57" i="6"/>
  <c r="T34" i="6"/>
  <c r="I54" i="5"/>
  <c r="I51" i="5"/>
  <c r="J42" i="5"/>
  <c r="J41" i="5" s="1"/>
  <c r="I48" i="5"/>
  <c r="K54" i="5"/>
  <c r="L42" i="5"/>
  <c r="L56" i="5" s="1"/>
  <c r="K51" i="5"/>
  <c r="K48" i="5"/>
  <c r="E54" i="5"/>
  <c r="E51" i="5"/>
  <c r="F42" i="5"/>
  <c r="F45" i="5"/>
  <c r="F44" i="5" s="1"/>
  <c r="E48" i="5"/>
  <c r="T34" i="5"/>
  <c r="T35" i="5"/>
  <c r="P34" i="5"/>
  <c r="P35" i="5" s="1"/>
  <c r="G54" i="5"/>
  <c r="H42" i="5"/>
  <c r="H41" i="5" s="1"/>
  <c r="G51" i="5"/>
  <c r="G48" i="5"/>
  <c r="H45" i="5"/>
  <c r="H44" i="5" s="1"/>
  <c r="N34" i="5"/>
  <c r="N35" i="5" s="1"/>
  <c r="V34" i="5" s="1"/>
  <c r="R34" i="5"/>
  <c r="R35" i="5" s="1"/>
  <c r="H42" i="3"/>
  <c r="H41" i="3" s="1"/>
  <c r="H45" i="3"/>
  <c r="H44" i="3" s="1"/>
  <c r="G48" i="3"/>
  <c r="E51" i="3"/>
  <c r="N32" i="3"/>
  <c r="M31" i="3"/>
  <c r="G51" i="3"/>
  <c r="E48" i="3"/>
  <c r="L47" i="3"/>
  <c r="P47" i="3"/>
  <c r="J47" i="3"/>
  <c r="L29" i="3"/>
  <c r="L31" i="3" s="1"/>
  <c r="L32" i="3" s="1"/>
  <c r="K28" i="3"/>
  <c r="H60" i="3"/>
  <c r="O33" i="3"/>
  <c r="O34" i="3" s="1"/>
  <c r="M34" i="3"/>
  <c r="S33" i="3"/>
  <c r="S34" i="3" s="1"/>
  <c r="P26" i="3"/>
  <c r="Q28" i="3"/>
  <c r="R29" i="3"/>
  <c r="F42" i="3"/>
  <c r="F45" i="3"/>
  <c r="F44" i="3" s="1"/>
  <c r="F53" i="3"/>
  <c r="J29" i="3"/>
  <c r="I28" i="3"/>
  <c r="X25" i="3"/>
  <c r="E31" i="3"/>
  <c r="T26" i="3"/>
  <c r="H56" i="3"/>
  <c r="H57" i="3"/>
  <c r="H55" i="3"/>
  <c r="L56" i="6" l="1"/>
  <c r="J55" i="6"/>
  <c r="G72" i="6" s="1"/>
  <c r="N60" i="6"/>
  <c r="N55" i="6"/>
  <c r="G73" i="6" s="1"/>
  <c r="P60" i="6"/>
  <c r="L60" i="6"/>
  <c r="R42" i="6"/>
  <c r="R41" i="6" s="1"/>
  <c r="R55" i="6"/>
  <c r="Q54" i="6"/>
  <c r="Q48" i="6"/>
  <c r="Q51" i="6"/>
  <c r="T35" i="6"/>
  <c r="V34" i="6" s="1"/>
  <c r="P41" i="6"/>
  <c r="P56" i="6"/>
  <c r="P57" i="6"/>
  <c r="P55" i="6"/>
  <c r="F45" i="6"/>
  <c r="F44" i="6" s="1"/>
  <c r="F42" i="6"/>
  <c r="E51" i="6"/>
  <c r="E48" i="6"/>
  <c r="E54" i="6"/>
  <c r="J41" i="6"/>
  <c r="J56" i="6"/>
  <c r="J57" i="6"/>
  <c r="L55" i="6"/>
  <c r="J56" i="5"/>
  <c r="J57" i="5"/>
  <c r="F55" i="5"/>
  <c r="L60" i="5"/>
  <c r="J55" i="5"/>
  <c r="G72" i="5" s="1"/>
  <c r="H55" i="5"/>
  <c r="F60" i="5"/>
  <c r="H56" i="5"/>
  <c r="L55" i="5"/>
  <c r="T42" i="5"/>
  <c r="T60" i="5" s="1"/>
  <c r="T55" i="5"/>
  <c r="S54" i="5"/>
  <c r="S51" i="5"/>
  <c r="S48" i="5"/>
  <c r="P55" i="5"/>
  <c r="P42" i="5"/>
  <c r="P41" i="5" s="1"/>
  <c r="O54" i="5"/>
  <c r="O51" i="5"/>
  <c r="O48" i="5"/>
  <c r="P45" i="5"/>
  <c r="P44" i="5" s="1"/>
  <c r="F41" i="5"/>
  <c r="F56" i="5"/>
  <c r="F57" i="5"/>
  <c r="H57" i="5"/>
  <c r="L41" i="5"/>
  <c r="L57" i="5"/>
  <c r="R42" i="5"/>
  <c r="R41" i="5" s="1"/>
  <c r="Q54" i="5"/>
  <c r="Q51" i="5"/>
  <c r="Q48" i="5"/>
  <c r="V35" i="5"/>
  <c r="X35" i="5" s="1"/>
  <c r="Z35" i="5" s="1"/>
  <c r="N42" i="5"/>
  <c r="N41" i="5" s="1"/>
  <c r="M54" i="5"/>
  <c r="M51" i="5"/>
  <c r="N45" i="5"/>
  <c r="N44" i="5" s="1"/>
  <c r="M48" i="5"/>
  <c r="H60" i="5"/>
  <c r="P57" i="5"/>
  <c r="P56" i="5"/>
  <c r="J60" i="5"/>
  <c r="F57" i="3"/>
  <c r="F60" i="3"/>
  <c r="P29" i="3"/>
  <c r="O28" i="3"/>
  <c r="N34" i="3"/>
  <c r="N35" i="3" s="1"/>
  <c r="R31" i="3"/>
  <c r="R32" i="3" s="1"/>
  <c r="J31" i="3"/>
  <c r="J32" i="3" s="1"/>
  <c r="T29" i="3"/>
  <c r="S28" i="3"/>
  <c r="L34" i="3"/>
  <c r="F55" i="3"/>
  <c r="F41" i="3"/>
  <c r="F56" i="3"/>
  <c r="R44" i="7" l="1"/>
  <c r="R56" i="6"/>
  <c r="V35" i="6"/>
  <c r="X35" i="6" s="1"/>
  <c r="Z35" i="6" s="1"/>
  <c r="R57" i="6"/>
  <c r="R60" i="6"/>
  <c r="G74" i="6"/>
  <c r="F60" i="6"/>
  <c r="S54" i="6"/>
  <c r="T60" i="6"/>
  <c r="S51" i="6"/>
  <c r="T42" i="6"/>
  <c r="T55" i="6" s="1"/>
  <c r="S48" i="6"/>
  <c r="F41" i="6"/>
  <c r="F56" i="6"/>
  <c r="F57" i="6"/>
  <c r="F55" i="6"/>
  <c r="R56" i="5"/>
  <c r="R57" i="5"/>
  <c r="R55" i="5"/>
  <c r="N57" i="5"/>
  <c r="D63" i="5"/>
  <c r="N55" i="5"/>
  <c r="D62" i="5" s="1"/>
  <c r="R60" i="5"/>
  <c r="T41" i="5"/>
  <c r="T57" i="5"/>
  <c r="T56" i="5"/>
  <c r="V61" i="5"/>
  <c r="N60" i="5"/>
  <c r="P60" i="5"/>
  <c r="N56" i="5"/>
  <c r="V59" i="5"/>
  <c r="D64" i="5" s="1"/>
  <c r="M51" i="3"/>
  <c r="M48" i="3"/>
  <c r="M54" i="3"/>
  <c r="P31" i="3"/>
  <c r="P32" i="3" s="1"/>
  <c r="N42" i="3"/>
  <c r="N53" i="3"/>
  <c r="N45" i="3"/>
  <c r="N44" i="3" s="1"/>
  <c r="L35" i="3"/>
  <c r="R34" i="3"/>
  <c r="R35" i="3" s="1"/>
  <c r="J34" i="3"/>
  <c r="J35" i="3" s="1"/>
  <c r="T31" i="3"/>
  <c r="T32" i="3" s="1"/>
  <c r="D68" i="7" l="1"/>
  <c r="D71" i="7"/>
  <c r="D69" i="7"/>
  <c r="D70" i="7"/>
  <c r="D63" i="6"/>
  <c r="V61" i="6"/>
  <c r="V62" i="6"/>
  <c r="X60" i="6" s="1"/>
  <c r="X61" i="6" s="1"/>
  <c r="V55" i="6"/>
  <c r="D65" i="6" s="1"/>
  <c r="D62" i="6"/>
  <c r="V60" i="6"/>
  <c r="V59" i="6"/>
  <c r="D64" i="6" s="1"/>
  <c r="T41" i="6"/>
  <c r="T56" i="6"/>
  <c r="T57" i="6"/>
  <c r="G73" i="5"/>
  <c r="G74" i="5" s="1"/>
  <c r="V55" i="5"/>
  <c r="D65" i="5" s="1"/>
  <c r="V60" i="5"/>
  <c r="V62" i="5"/>
  <c r="X60" i="5" s="1"/>
  <c r="X61" i="5" s="1"/>
  <c r="P34" i="3"/>
  <c r="P35" i="3"/>
  <c r="Q54" i="3"/>
  <c r="Q48" i="3"/>
  <c r="Q51" i="3"/>
  <c r="I54" i="3"/>
  <c r="I51" i="3"/>
  <c r="I48" i="3"/>
  <c r="K54" i="3"/>
  <c r="K51" i="3"/>
  <c r="K48" i="3"/>
  <c r="N60" i="3"/>
  <c r="P53" i="3"/>
  <c r="P42" i="3"/>
  <c r="P45" i="3"/>
  <c r="P44" i="3" s="1"/>
  <c r="T34" i="3"/>
  <c r="T35" i="3" s="1"/>
  <c r="L53" i="3"/>
  <c r="L42" i="3"/>
  <c r="L60" i="3" s="1"/>
  <c r="N41" i="3"/>
  <c r="N56" i="3"/>
  <c r="N57" i="3"/>
  <c r="J42" i="3"/>
  <c r="J60" i="3" s="1"/>
  <c r="R42" i="3"/>
  <c r="R55" i="3" s="1"/>
  <c r="R53" i="3"/>
  <c r="N55" i="3"/>
  <c r="G73" i="3" s="1"/>
  <c r="S54" i="3" l="1"/>
  <c r="S51" i="3"/>
  <c r="S48" i="3"/>
  <c r="O54" i="3"/>
  <c r="O51" i="3"/>
  <c r="O48" i="3"/>
  <c r="V35" i="3"/>
  <c r="V34" i="3"/>
  <c r="P55" i="3"/>
  <c r="P60" i="3"/>
  <c r="P56" i="3"/>
  <c r="R60" i="3"/>
  <c r="L41" i="3"/>
  <c r="L57" i="3"/>
  <c r="L56" i="3"/>
  <c r="J55" i="3"/>
  <c r="G72" i="3" s="1"/>
  <c r="G74" i="3" s="1"/>
  <c r="J53" i="3"/>
  <c r="P41" i="3"/>
  <c r="P57" i="3"/>
  <c r="R41" i="3"/>
  <c r="R56" i="3"/>
  <c r="R57" i="3"/>
  <c r="J41" i="3"/>
  <c r="J57" i="3"/>
  <c r="J56" i="3"/>
  <c r="L55" i="3"/>
  <c r="T42" i="3"/>
  <c r="T60" i="3" s="1"/>
  <c r="X35" i="3" l="1"/>
  <c r="Z35" i="3" s="1"/>
  <c r="T41" i="3"/>
  <c r="T57" i="3"/>
  <c r="T56" i="3"/>
  <c r="T55" i="3"/>
  <c r="D63" i="3" s="1"/>
  <c r="T53" i="3"/>
  <c r="V59" i="3" l="1"/>
  <c r="D64" i="3" s="1"/>
  <c r="D62" i="3"/>
  <c r="V55" i="3"/>
  <c r="D65" i="3" s="1"/>
  <c r="V62" i="3"/>
  <c r="V61" i="3"/>
  <c r="V60" i="3"/>
  <c r="X60" i="3" l="1"/>
  <c r="X61" i="3" s="1"/>
</calcChain>
</file>

<file path=xl/sharedStrings.xml><?xml version="1.0" encoding="utf-8"?>
<sst xmlns="http://schemas.openxmlformats.org/spreadsheetml/2006/main" count="651" uniqueCount="116">
  <si>
    <t>Comparable Number</t>
  </si>
  <si>
    <t>Subject</t>
  </si>
  <si>
    <t>LOCATION</t>
  </si>
  <si>
    <t>SALE PRICE</t>
  </si>
  <si>
    <t>-</t>
  </si>
  <si>
    <t xml:space="preserve">  Adjustment</t>
  </si>
  <si>
    <t>FINANCING TERMS</t>
  </si>
  <si>
    <t>CONDITIONS OF SALE</t>
  </si>
  <si>
    <t>DATE OF SALE</t>
  </si>
  <si>
    <t>L/B Ratio</t>
  </si>
  <si>
    <t>Mean</t>
  </si>
  <si>
    <t>Arms Length</t>
    <phoneticPr fontId="2"/>
  </si>
  <si>
    <t>OVERALL LOCATION</t>
  </si>
  <si>
    <t>N/A</t>
    <phoneticPr fontId="2"/>
  </si>
  <si>
    <t>mean</t>
  </si>
  <si>
    <t>median</t>
  </si>
  <si>
    <t>stdev</t>
  </si>
  <si>
    <t>min</t>
  </si>
  <si>
    <t>max</t>
  </si>
  <si>
    <t>Net</t>
    <phoneticPr fontId="2"/>
  </si>
  <si>
    <t>Gross</t>
    <phoneticPr fontId="2"/>
  </si>
  <si>
    <t>Rounded</t>
    <phoneticPr fontId="2"/>
  </si>
  <si>
    <t>Location:</t>
  </si>
  <si>
    <t>City:</t>
  </si>
  <si>
    <t>Sale Date:</t>
  </si>
  <si>
    <t>Sale Price:</t>
  </si>
  <si>
    <t>Cash Equiv Adj</t>
  </si>
  <si>
    <t>Specials:</t>
  </si>
  <si>
    <t>Total Price:</t>
  </si>
  <si>
    <t>Unit Price:</t>
  </si>
  <si>
    <t>Comp</t>
  </si>
  <si>
    <t>Latitude</t>
  </si>
  <si>
    <t>Longitude</t>
  </si>
  <si>
    <t>Arms Length</t>
  </si>
  <si>
    <t>Diff</t>
  </si>
  <si>
    <t>% Diff</t>
  </si>
  <si>
    <t>Cash Equivalent</t>
  </si>
  <si>
    <t>Maximum</t>
  </si>
  <si>
    <t>Minimum</t>
  </si>
  <si>
    <t>Median</t>
  </si>
  <si>
    <t>AADTs</t>
  </si>
  <si>
    <t>SF</t>
  </si>
  <si>
    <t>ADJUSTED SALES PRICE PER SF</t>
  </si>
  <si>
    <t xml:space="preserve">  Adjusted Price per SF</t>
  </si>
  <si>
    <t xml:space="preserve"> Sale Price per SF</t>
  </si>
  <si>
    <t>Concluded Value/SF</t>
  </si>
  <si>
    <t>Subject SF</t>
  </si>
  <si>
    <t>Gross Building Area</t>
  </si>
  <si>
    <t>AGE/CONDITION</t>
  </si>
  <si>
    <t>SIZE (GBA)</t>
  </si>
  <si>
    <t>Conclusion</t>
  </si>
  <si>
    <t>USE</t>
  </si>
  <si>
    <t>Fee Simple</t>
  </si>
  <si>
    <t>Sale 1</t>
  </si>
  <si>
    <t>Sale 2</t>
  </si>
  <si>
    <t>Sale 4</t>
  </si>
  <si>
    <t>Sale 5</t>
  </si>
  <si>
    <t>Sale 6</t>
  </si>
  <si>
    <t>per year</t>
  </si>
  <si>
    <t>per 1</t>
  </si>
  <si>
    <t>Regression</t>
  </si>
  <si>
    <t>Years</t>
  </si>
  <si>
    <t>Sale 3</t>
  </si>
  <si>
    <t>Stabilized</t>
  </si>
  <si>
    <t>Retailing</t>
  </si>
  <si>
    <t>Plymouth</t>
  </si>
  <si>
    <t>8301 Flying Cloud Dr</t>
  </si>
  <si>
    <t>Eden Prairie</t>
  </si>
  <si>
    <t>42</t>
  </si>
  <si>
    <t>per 10k</t>
  </si>
  <si>
    <t>per 10 k</t>
  </si>
  <si>
    <t>1959 Suburban</t>
  </si>
  <si>
    <t>St. Paul</t>
  </si>
  <si>
    <t>4405 Pheasant Ridge</t>
  </si>
  <si>
    <t>Blaine</t>
  </si>
  <si>
    <t>441 Hwy 96</t>
  </si>
  <si>
    <t>Shoreview</t>
  </si>
  <si>
    <t>5925 Earle Brown Dr</t>
  </si>
  <si>
    <t>Brooklyn Center</t>
  </si>
  <si>
    <t>Cash</t>
  </si>
  <si>
    <t>Sale 7</t>
  </si>
  <si>
    <t>13800 Rogers Dr</t>
  </si>
  <si>
    <t>Rogers</t>
  </si>
  <si>
    <t>2324 3rd Ave</t>
  </si>
  <si>
    <t>Cambridge</t>
  </si>
  <si>
    <t>QUALITY</t>
  </si>
  <si>
    <t>Good</t>
  </si>
  <si>
    <t>Low Cost</t>
  </si>
  <si>
    <t>Average</t>
  </si>
  <si>
    <t>M&amp;S Pg 28 - Discount Whse</t>
  </si>
  <si>
    <t>Adj to low cost</t>
  </si>
  <si>
    <t>Burnsville</t>
  </si>
  <si>
    <t>14230 Burnhaven Dr</t>
  </si>
  <si>
    <t>Leased Fee</t>
  </si>
  <si>
    <t>TRAFFIC EXPOSURE</t>
  </si>
  <si>
    <t>Sale 8</t>
  </si>
  <si>
    <t>PROPERTY ADJUSTMENTS</t>
  </si>
  <si>
    <t>TRANSACTION ADJUSTMENTS</t>
  </si>
  <si>
    <t xml:space="preserve">Sales </t>
  </si>
  <si>
    <t>3205 Vicksburg Ln  N</t>
  </si>
  <si>
    <t>Adj</t>
  </si>
  <si>
    <t>Fee Simple Market Value As Is</t>
  </si>
  <si>
    <t>Reconciled</t>
  </si>
  <si>
    <t>PROPERTY RIGHTS</t>
  </si>
  <si>
    <t>Arms Length - PP</t>
  </si>
  <si>
    <t>Restricted FS</t>
  </si>
  <si>
    <t>As of 01/02/2016</t>
  </si>
  <si>
    <t>11 Years</t>
  </si>
  <si>
    <t>12 Years</t>
  </si>
  <si>
    <t>13 Years</t>
  </si>
  <si>
    <t>As of 01/02/2017</t>
  </si>
  <si>
    <t>As of 01/02/2018</t>
  </si>
  <si>
    <t>As of 01/02/2019</t>
  </si>
  <si>
    <t>14 Years</t>
  </si>
  <si>
    <t>Example Comp</t>
  </si>
  <si>
    <t>Somewhere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</si>
</sst>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4">
    <numFmt numFmtId="5" formatCode="&quot;$&quot;#,##0_);\(&quot;$&quot;#,##0\)"/>
    <numFmt numFmtId="7" formatCode="&quot;$&quot;#,##0.00_);\(&quot;$&quot;#,##0.00\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&quot;$&quot;#,##0;[Red]\-&quot;$&quot;#,##0"/>
    <numFmt numFmtId="165" formatCode="&quot;$&quot;#,##0.00;[Red]\-&quot;$&quot;#,##0.00"/>
    <numFmt numFmtId="166" formatCode="0.0"/>
    <numFmt numFmtId="167" formatCode=";;;"/>
    <numFmt numFmtId="168" formatCode="0.0%"/>
    <numFmt numFmtId="169" formatCode="#,##0.0_);\(#,##0.0\)"/>
    <numFmt numFmtId="170" formatCode="&quot;$&quot;#,##0.00"/>
    <numFmt numFmtId="171" formatCode="#,##0.0"/>
    <numFmt numFmtId="172" formatCode="_(&quot;$&quot;* #,##0_);_(&quot;$&quot;* \(#,##0\);_(&quot;$&quot;* &quot;-&quot;??_);_(@_)"/>
    <numFmt numFmtId="173" formatCode="0.000"/>
  </numFmts>
  <fonts count="36">
    <font>
      <sz val="10"/>
      <name val="Palatino"/>
    </font>
    <font>
      <sz val="10"/>
      <name val="Palatino"/>
    </font>
    <font>
      <sz val="8"/>
      <name val="Palatino"/>
    </font>
    <font>
      <sz val="12"/>
      <name val="Segoe UI"/>
      <family val="2"/>
    </font>
    <font>
      <b/>
      <sz val="12"/>
      <name val="Segoe UI"/>
      <family val="2"/>
    </font>
    <font>
      <i/>
      <sz val="12"/>
      <name val="Segoe UI"/>
      <family val="2"/>
    </font>
    <font>
      <b/>
      <i/>
      <sz val="12"/>
      <name val="Segoe UI"/>
      <family val="2"/>
    </font>
    <font>
      <sz val="14"/>
      <name val="Segoe UI"/>
      <family val="2"/>
    </font>
    <font>
      <b/>
      <sz val="14"/>
      <name val="Segoe UI"/>
      <family val="2"/>
    </font>
    <font>
      <sz val="14"/>
      <color indexed="12"/>
      <name val="Segoe UI"/>
      <family val="2"/>
    </font>
    <font>
      <b/>
      <sz val="14"/>
      <color indexed="16"/>
      <name val="Segoe UI"/>
      <family val="2"/>
    </font>
    <font>
      <sz val="14"/>
      <color indexed="16"/>
      <name val="Segoe UI"/>
      <family val="2"/>
    </font>
    <font>
      <sz val="14"/>
      <color indexed="8"/>
      <name val="Segoe UI"/>
      <family val="2"/>
    </font>
    <font>
      <b/>
      <sz val="12"/>
      <color rgb="FF900000"/>
      <name val="Segoe UI"/>
      <family val="2"/>
    </font>
    <font>
      <sz val="12"/>
      <color rgb="FF0000CC"/>
      <name val="Segoe UI"/>
      <family val="2"/>
    </font>
    <font>
      <sz val="12"/>
      <color rgb="FF0000D4"/>
      <name val="Segoe UI"/>
      <family val="2"/>
    </font>
    <font>
      <sz val="12"/>
      <color rgb="FF900000"/>
      <name val="Segoe UI"/>
      <family val="2"/>
    </font>
    <font>
      <b/>
      <sz val="12"/>
      <color theme="0"/>
      <name val="Segoe UI"/>
      <family val="2"/>
    </font>
    <font>
      <sz val="12"/>
      <color theme="3" tint="0.39997558519241921"/>
      <name val="Segoe UI"/>
      <family val="2"/>
    </font>
    <font>
      <sz val="12"/>
      <color theme="0"/>
      <name val="Segoe UI"/>
      <family val="2"/>
    </font>
    <font>
      <sz val="14"/>
      <color rgb="FF800000"/>
      <name val="Segoe UI"/>
      <family val="2"/>
    </font>
    <font>
      <b/>
      <sz val="14"/>
      <color rgb="FF800000"/>
      <name val="Segoe UI"/>
      <family val="2"/>
    </font>
    <font>
      <sz val="14"/>
      <color rgb="FF0000CC"/>
      <name val="Segoe UI"/>
      <family val="2"/>
    </font>
    <font>
      <sz val="14"/>
      <color theme="3" tint="0.39997558519241921"/>
      <name val="Segoe UI"/>
      <family val="2"/>
    </font>
    <font>
      <b/>
      <sz val="14"/>
      <color theme="0"/>
      <name val="Segoe UI"/>
      <family val="2"/>
    </font>
    <font>
      <b/>
      <u/>
      <sz val="12"/>
      <color theme="0"/>
      <name val="Segoe UI"/>
      <family val="2"/>
    </font>
    <font>
      <b/>
      <sz val="14"/>
      <color rgb="FF900000"/>
      <name val="Segoe UI"/>
      <family val="2"/>
    </font>
    <font>
      <sz val="14"/>
      <color rgb="FF0000D4"/>
      <name val="Segoe UI"/>
      <family val="2"/>
    </font>
    <font>
      <sz val="14"/>
      <color rgb="FF900000"/>
      <name val="Segoe UI"/>
      <family val="2"/>
    </font>
    <font>
      <sz val="14"/>
      <color theme="0"/>
      <name val="Segoe UI"/>
      <family val="2"/>
    </font>
    <font>
      <sz val="12"/>
      <color rgb="FF800000"/>
      <name val="Segoe UI"/>
      <family val="2"/>
    </font>
    <font>
      <b/>
      <sz val="12"/>
      <color rgb="FF800000"/>
      <name val="Segoe UI"/>
      <family val="2"/>
    </font>
    <font>
      <sz val="12"/>
      <color indexed="12"/>
      <name val="Segoe UI"/>
      <family val="2"/>
    </font>
    <font>
      <b/>
      <sz val="12"/>
      <color indexed="16"/>
      <name val="Segoe UI"/>
      <family val="2"/>
    </font>
    <font>
      <sz val="12"/>
      <color indexed="16"/>
      <name val="Segoe UI"/>
      <family val="2"/>
    </font>
    <font>
      <sz val="12"/>
      <color indexed="8"/>
      <name val="Segoe UI"/>
      <family val="2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rgb="FF113C66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5050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indexed="64"/>
      </top>
      <bottom/>
      <diagonal/>
    </border>
    <border>
      <left style="thin">
        <color rgb="FF000000"/>
      </left>
      <right/>
      <top style="thin">
        <color indexed="64"/>
      </top>
      <bottom/>
      <diagonal/>
    </border>
  </borders>
  <cellStyleXfs count="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84">
    <xf numFmtId="0" fontId="0" fillId="0" borderId="0" xfId="0"/>
    <xf numFmtId="0" fontId="3" fillId="0" borderId="1" xfId="0" applyFont="1" applyBorder="1"/>
    <xf numFmtId="0" fontId="3" fillId="0" borderId="0" xfId="0" applyFont="1" applyBorder="1"/>
    <xf numFmtId="0" fontId="6" fillId="0" borderId="0" xfId="0" applyFont="1" applyBorder="1" applyAlignment="1">
      <alignment vertical="center"/>
    </xf>
    <xf numFmtId="9" fontId="6" fillId="0" borderId="0" xfId="0" applyNumberFormat="1" applyFont="1" applyBorder="1" applyAlignment="1">
      <alignment vertical="center"/>
    </xf>
    <xf numFmtId="0" fontId="6" fillId="0" borderId="0" xfId="0" applyFont="1" applyBorder="1"/>
    <xf numFmtId="0" fontId="3" fillId="0" borderId="0" xfId="0" applyFont="1"/>
    <xf numFmtId="0" fontId="3" fillId="0" borderId="0" xfId="0" applyFont="1" applyAlignment="1" applyProtection="1">
      <alignment horizontal="right"/>
      <protection hidden="1"/>
    </xf>
    <xf numFmtId="0" fontId="3" fillId="0" borderId="0" xfId="0" applyFont="1" applyAlignment="1">
      <alignment vertical="center" wrapText="1"/>
    </xf>
    <xf numFmtId="0" fontId="3" fillId="0" borderId="2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right" vertical="center" wrapText="1"/>
    </xf>
    <xf numFmtId="0" fontId="3" fillId="0" borderId="3" xfId="0" applyFont="1" applyFill="1" applyBorder="1" applyAlignment="1">
      <alignment vertical="center" wrapText="1"/>
    </xf>
    <xf numFmtId="0" fontId="3" fillId="0" borderId="3" xfId="0" applyFont="1" applyFill="1" applyBorder="1"/>
    <xf numFmtId="0" fontId="3" fillId="0" borderId="0" xfId="0" applyFont="1" applyFill="1" applyBorder="1" applyAlignment="1">
      <alignment horizontal="right"/>
    </xf>
    <xf numFmtId="0" fontId="3" fillId="0" borderId="0" xfId="0" applyFont="1" applyAlignment="1">
      <alignment horizontal="right"/>
    </xf>
    <xf numFmtId="17" fontId="3" fillId="0" borderId="0" xfId="0" applyNumberFormat="1" applyFont="1" applyFill="1" applyBorder="1" applyAlignment="1">
      <alignment horizontal="right"/>
    </xf>
    <xf numFmtId="3" fontId="3" fillId="0" borderId="0" xfId="1" applyNumberFormat="1" applyFont="1"/>
    <xf numFmtId="3" fontId="3" fillId="0" borderId="3" xfId="1" applyNumberFormat="1" applyFont="1" applyFill="1" applyBorder="1"/>
    <xf numFmtId="3" fontId="3" fillId="0" borderId="0" xfId="1" applyNumberFormat="1" applyFont="1" applyFill="1" applyBorder="1" applyAlignment="1">
      <alignment horizontal="right"/>
    </xf>
    <xf numFmtId="4" fontId="3" fillId="0" borderId="0" xfId="1" applyNumberFormat="1" applyFont="1" applyAlignment="1">
      <alignment horizontal="right"/>
    </xf>
    <xf numFmtId="4" fontId="3" fillId="0" borderId="0" xfId="1" applyNumberFormat="1" applyFont="1" applyFill="1" applyBorder="1" applyAlignment="1">
      <alignment horizontal="right"/>
    </xf>
    <xf numFmtId="3" fontId="3" fillId="0" borderId="0" xfId="0" applyNumberFormat="1" applyFont="1"/>
    <xf numFmtId="5" fontId="3" fillId="0" borderId="0" xfId="0" applyNumberFormat="1" applyFont="1" applyAlignment="1">
      <alignment horizontal="right"/>
    </xf>
    <xf numFmtId="7" fontId="3" fillId="0" borderId="0" xfId="0" applyNumberFormat="1" applyFont="1"/>
    <xf numFmtId="7" fontId="3" fillId="0" borderId="3" xfId="0" applyNumberFormat="1" applyFont="1" applyFill="1" applyBorder="1"/>
    <xf numFmtId="7" fontId="3" fillId="0" borderId="0" xfId="0" applyNumberFormat="1" applyFont="1" applyAlignment="1">
      <alignment horizontal="right"/>
    </xf>
    <xf numFmtId="7" fontId="3" fillId="0" borderId="0" xfId="0" applyNumberFormat="1" applyFont="1" applyFill="1" applyBorder="1"/>
    <xf numFmtId="166" fontId="3" fillId="0" borderId="0" xfId="0" applyNumberFormat="1" applyFont="1"/>
    <xf numFmtId="170" fontId="3" fillId="0" borderId="0" xfId="0" applyNumberFormat="1" applyFont="1"/>
    <xf numFmtId="164" fontId="3" fillId="0" borderId="0" xfId="0" applyNumberFormat="1" applyFont="1"/>
    <xf numFmtId="9" fontId="3" fillId="0" borderId="0" xfId="3" applyFont="1"/>
    <xf numFmtId="2" fontId="3" fillId="0" borderId="0" xfId="0" applyNumberFormat="1" applyFont="1"/>
    <xf numFmtId="165" fontId="3" fillId="0" borderId="0" xfId="0" applyNumberFormat="1" applyFont="1"/>
    <xf numFmtId="173" fontId="3" fillId="0" borderId="0" xfId="0" applyNumberFormat="1" applyFont="1"/>
    <xf numFmtId="0" fontId="3" fillId="0" borderId="0" xfId="0" applyFont="1" applyAlignment="1">
      <alignment vertical="center"/>
    </xf>
    <xf numFmtId="37" fontId="14" fillId="4" borderId="0" xfId="0" applyNumberFormat="1" applyFont="1" applyFill="1" applyBorder="1" applyAlignment="1" applyProtection="1">
      <alignment horizontal="center"/>
      <protection locked="0"/>
    </xf>
    <xf numFmtId="0" fontId="3" fillId="4" borderId="0" xfId="0" applyFont="1" applyFill="1" applyBorder="1"/>
    <xf numFmtId="9" fontId="15" fillId="4" borderId="11" xfId="0" applyNumberFormat="1" applyFont="1" applyFill="1" applyBorder="1"/>
    <xf numFmtId="0" fontId="3" fillId="0" borderId="0" xfId="0" applyFont="1" applyFill="1" applyBorder="1"/>
    <xf numFmtId="168" fontId="3" fillId="0" borderId="0" xfId="0" applyNumberFormat="1" applyFont="1" applyFill="1" applyBorder="1"/>
    <xf numFmtId="5" fontId="3" fillId="0" borderId="0" xfId="0" applyNumberFormat="1" applyFont="1"/>
    <xf numFmtId="9" fontId="3" fillId="0" borderId="0" xfId="0" applyNumberFormat="1" applyFont="1" applyFill="1" applyBorder="1" applyAlignment="1">
      <alignment horizontal="right"/>
    </xf>
    <xf numFmtId="172" fontId="3" fillId="0" borderId="0" xfId="2" applyNumberFormat="1" applyFont="1" applyFill="1" applyBorder="1"/>
    <xf numFmtId="9" fontId="3" fillId="0" borderId="0" xfId="0" applyNumberFormat="1" applyFont="1" applyFill="1" applyBorder="1"/>
    <xf numFmtId="5" fontId="3" fillId="0" borderId="0" xfId="0" applyNumberFormat="1" applyFont="1" applyFill="1" applyBorder="1"/>
    <xf numFmtId="0" fontId="3" fillId="0" borderId="0" xfId="0" applyFont="1" applyFill="1" applyBorder="1" applyAlignment="1">
      <alignment vertical="center"/>
    </xf>
    <xf numFmtId="7" fontId="3" fillId="0" borderId="0" xfId="0" applyNumberFormat="1" applyFont="1" applyFill="1" applyBorder="1" applyAlignment="1">
      <alignment vertical="center"/>
    </xf>
    <xf numFmtId="7" fontId="3" fillId="0" borderId="0" xfId="0" applyNumberFormat="1" applyFont="1" applyFill="1" applyBorder="1" applyAlignment="1"/>
    <xf numFmtId="0" fontId="5" fillId="0" borderId="0" xfId="0" applyFont="1"/>
    <xf numFmtId="0" fontId="3" fillId="0" borderId="11" xfId="0" applyFont="1" applyBorder="1"/>
    <xf numFmtId="0" fontId="4" fillId="0" borderId="0" xfId="0" applyFont="1"/>
    <xf numFmtId="5" fontId="4" fillId="0" borderId="0" xfId="0" applyNumberFormat="1" applyFont="1"/>
    <xf numFmtId="9" fontId="3" fillId="0" borderId="0" xfId="0" applyNumberFormat="1" applyFont="1"/>
    <xf numFmtId="37" fontId="13" fillId="4" borderId="0" xfId="0" applyNumberFormat="1" applyFont="1" applyFill="1" applyBorder="1" applyAlignment="1">
      <alignment horizontal="left" vertical="center" wrapText="1"/>
    </xf>
    <xf numFmtId="0" fontId="3" fillId="4" borderId="0" xfId="0" applyFont="1" applyFill="1" applyBorder="1" applyAlignment="1">
      <alignment vertical="center" wrapText="1"/>
    </xf>
    <xf numFmtId="37" fontId="13" fillId="4" borderId="0" xfId="0" applyNumberFormat="1" applyFont="1" applyFill="1" applyBorder="1" applyAlignment="1">
      <alignment horizontal="left"/>
    </xf>
    <xf numFmtId="5" fontId="3" fillId="4" borderId="0" xfId="0" applyNumberFormat="1" applyFont="1" applyFill="1" applyBorder="1" applyAlignment="1">
      <alignment horizontal="center"/>
    </xf>
    <xf numFmtId="37" fontId="16" fillId="4" borderId="0" xfId="0" applyNumberFormat="1" applyFont="1" applyFill="1" applyBorder="1" applyAlignment="1">
      <alignment horizontal="left"/>
    </xf>
    <xf numFmtId="0" fontId="14" fillId="4" borderId="0" xfId="0" applyFont="1" applyFill="1" applyBorder="1" applyAlignment="1">
      <alignment horizontal="center"/>
    </xf>
    <xf numFmtId="9" fontId="15" fillId="4" borderId="0" xfId="0" applyNumberFormat="1" applyFont="1" applyFill="1" applyBorder="1"/>
    <xf numFmtId="7" fontId="3" fillId="4" borderId="0" xfId="0" applyNumberFormat="1" applyFont="1" applyFill="1" applyBorder="1"/>
    <xf numFmtId="168" fontId="3" fillId="0" borderId="0" xfId="3" applyNumberFormat="1" applyFont="1"/>
    <xf numFmtId="0" fontId="7" fillId="3" borderId="0" xfId="0" applyFont="1" applyFill="1" applyBorder="1"/>
    <xf numFmtId="37" fontId="8" fillId="3" borderId="0" xfId="0" applyNumberFormat="1" applyFont="1" applyFill="1" applyBorder="1" applyAlignment="1" applyProtection="1">
      <alignment horizontal="center"/>
    </xf>
    <xf numFmtId="0" fontId="8" fillId="2" borderId="16" xfId="0" applyFont="1" applyFill="1" applyBorder="1" applyAlignment="1">
      <alignment horizontal="right"/>
    </xf>
    <xf numFmtId="37" fontId="8" fillId="2" borderId="17" xfId="0" applyNumberFormat="1" applyFont="1" applyFill="1" applyBorder="1" applyAlignment="1" applyProtection="1">
      <alignment horizontal="right"/>
    </xf>
    <xf numFmtId="37" fontId="8" fillId="2" borderId="18" xfId="0" applyNumberFormat="1" applyFont="1" applyFill="1" applyBorder="1" applyAlignment="1" applyProtection="1">
      <alignment horizontal="right"/>
    </xf>
    <xf numFmtId="0" fontId="8" fillId="2" borderId="17" xfId="0" applyFont="1" applyFill="1" applyBorder="1" applyAlignment="1">
      <alignment horizontal="right"/>
    </xf>
    <xf numFmtId="0" fontId="7" fillId="3" borderId="0" xfId="0" applyFont="1" applyFill="1" applyBorder="1" applyAlignment="1">
      <alignment vertical="center" wrapText="1"/>
    </xf>
    <xf numFmtId="37" fontId="22" fillId="3" borderId="0" xfId="0" applyNumberFormat="1" applyFont="1" applyFill="1" applyBorder="1" applyAlignment="1" applyProtection="1">
      <alignment horizontal="center" vertical="center" wrapText="1"/>
      <protection locked="0"/>
    </xf>
    <xf numFmtId="0" fontId="7" fillId="2" borderId="3" xfId="0" applyFont="1" applyFill="1" applyBorder="1" applyAlignment="1">
      <alignment vertical="center" wrapText="1"/>
    </xf>
    <xf numFmtId="0" fontId="7" fillId="3" borderId="3" xfId="0" applyFont="1" applyFill="1" applyBorder="1"/>
    <xf numFmtId="37" fontId="9" fillId="2" borderId="0" xfId="0" applyNumberFormat="1" applyFont="1" applyFill="1" applyBorder="1" applyAlignment="1" applyProtection="1">
      <alignment horizontal="right" vertical="center"/>
      <protection locked="0"/>
    </xf>
    <xf numFmtId="0" fontId="7" fillId="2" borderId="3" xfId="0" applyFont="1" applyFill="1" applyBorder="1" applyAlignment="1">
      <alignment horizontal="right" vertical="center"/>
    </xf>
    <xf numFmtId="37" fontId="9" fillId="2" borderId="7" xfId="0" applyNumberFormat="1" applyFont="1" applyFill="1" applyBorder="1" applyAlignment="1" applyProtection="1">
      <alignment horizontal="right" vertical="center"/>
      <protection locked="0"/>
    </xf>
    <xf numFmtId="0" fontId="7" fillId="2" borderId="0" xfId="0" applyFont="1" applyFill="1" applyBorder="1" applyAlignment="1">
      <alignment horizontal="right" vertical="center"/>
    </xf>
    <xf numFmtId="0" fontId="7" fillId="3" borderId="4" xfId="0" applyFont="1" applyFill="1" applyBorder="1"/>
    <xf numFmtId="0" fontId="22" fillId="3" borderId="4" xfId="0" applyFont="1" applyFill="1" applyBorder="1" applyAlignment="1">
      <alignment horizontal="center"/>
    </xf>
    <xf numFmtId="0" fontId="7" fillId="2" borderId="7" xfId="0" applyFont="1" applyFill="1" applyBorder="1"/>
    <xf numFmtId="0" fontId="7" fillId="2" borderId="8" xfId="0" applyFont="1" applyFill="1" applyBorder="1"/>
    <xf numFmtId="0" fontId="7" fillId="2" borderId="5" xfId="0" applyFont="1" applyFill="1" applyBorder="1"/>
    <xf numFmtId="5" fontId="22" fillId="3" borderId="0" xfId="0" applyNumberFormat="1" applyFont="1" applyFill="1" applyBorder="1" applyAlignment="1" applyProtection="1">
      <alignment horizontal="center"/>
    </xf>
    <xf numFmtId="0" fontId="7" fillId="3" borderId="6" xfId="0" applyFont="1" applyFill="1" applyBorder="1"/>
    <xf numFmtId="37" fontId="22" fillId="3" borderId="0" xfId="0" applyNumberFormat="1" applyFont="1" applyFill="1" applyBorder="1" applyAlignment="1" applyProtection="1">
      <alignment horizontal="center"/>
    </xf>
    <xf numFmtId="37" fontId="22" fillId="3" borderId="4" xfId="2" applyNumberFormat="1" applyFont="1" applyFill="1" applyBorder="1" applyAlignment="1" applyProtection="1">
      <alignment horizontal="center"/>
    </xf>
    <xf numFmtId="0" fontId="7" fillId="3" borderId="8" xfId="0" applyFont="1" applyFill="1" applyBorder="1"/>
    <xf numFmtId="7" fontId="7" fillId="2" borderId="4" xfId="0" applyNumberFormat="1" applyFont="1" applyFill="1" applyBorder="1" applyProtection="1"/>
    <xf numFmtId="5" fontId="7" fillId="2" borderId="8" xfId="0" applyNumberFormat="1" applyFont="1" applyFill="1" applyBorder="1"/>
    <xf numFmtId="7" fontId="7" fillId="2" borderId="5" xfId="0" applyNumberFormat="1" applyFont="1" applyFill="1" applyBorder="1" applyProtection="1"/>
    <xf numFmtId="5" fontId="7" fillId="2" borderId="4" xfId="0" applyNumberFormat="1" applyFont="1" applyFill="1" applyBorder="1"/>
    <xf numFmtId="0" fontId="22" fillId="3" borderId="0" xfId="0" applyFont="1" applyFill="1" applyBorder="1" applyAlignment="1">
      <alignment horizontal="center"/>
    </xf>
    <xf numFmtId="9" fontId="7" fillId="2" borderId="3" xfId="0" applyNumberFormat="1" applyFont="1" applyFill="1" applyBorder="1"/>
    <xf numFmtId="7" fontId="7" fillId="2" borderId="0" xfId="0" applyNumberFormat="1" applyFont="1" applyFill="1" applyBorder="1" applyProtection="1"/>
    <xf numFmtId="7" fontId="7" fillId="2" borderId="7" xfId="0" applyNumberFormat="1" applyFont="1" applyFill="1" applyBorder="1" applyProtection="1"/>
    <xf numFmtId="9" fontId="7" fillId="2" borderId="0" xfId="0" applyNumberFormat="1" applyFont="1" applyFill="1" applyBorder="1"/>
    <xf numFmtId="7" fontId="9" fillId="2" borderId="0" xfId="0" applyNumberFormat="1" applyFont="1" applyFill="1" applyBorder="1" applyProtection="1"/>
    <xf numFmtId="7" fontId="9" fillId="2" borderId="7" xfId="0" applyNumberFormat="1" applyFont="1" applyFill="1" applyBorder="1" applyProtection="1"/>
    <xf numFmtId="0" fontId="22" fillId="3" borderId="6" xfId="0" applyFont="1" applyFill="1" applyBorder="1" applyAlignment="1">
      <alignment horizontal="center"/>
    </xf>
    <xf numFmtId="167" fontId="7" fillId="2" borderId="8" xfId="0" applyNumberFormat="1" applyFont="1" applyFill="1" applyBorder="1" applyProtection="1"/>
    <xf numFmtId="5" fontId="7" fillId="2" borderId="8" xfId="0" applyNumberFormat="1" applyFont="1" applyFill="1" applyBorder="1" applyProtection="1"/>
    <xf numFmtId="5" fontId="7" fillId="2" borderId="4" xfId="0" applyNumberFormat="1" applyFont="1" applyFill="1" applyBorder="1" applyProtection="1"/>
    <xf numFmtId="168" fontId="9" fillId="2" borderId="2" xfId="0" applyNumberFormat="1" applyFont="1" applyFill="1" applyBorder="1"/>
    <xf numFmtId="17" fontId="9" fillId="2" borderId="6" xfId="0" applyNumberFormat="1" applyFont="1" applyFill="1" applyBorder="1" applyProtection="1">
      <protection locked="0"/>
    </xf>
    <xf numFmtId="17" fontId="9" fillId="2" borderId="9" xfId="0" applyNumberFormat="1" applyFont="1" applyFill="1" applyBorder="1" applyProtection="1">
      <protection locked="0"/>
    </xf>
    <xf numFmtId="168" fontId="9" fillId="2" borderId="6" xfId="0" applyNumberFormat="1" applyFont="1" applyFill="1" applyBorder="1"/>
    <xf numFmtId="14" fontId="22" fillId="3" borderId="0" xfId="0" applyNumberFormat="1" applyFont="1" applyFill="1" applyBorder="1" applyAlignment="1">
      <alignment horizontal="center"/>
    </xf>
    <xf numFmtId="168" fontId="7" fillId="0" borderId="3" xfId="0" applyNumberFormat="1" applyFont="1" applyFill="1" applyBorder="1"/>
    <xf numFmtId="168" fontId="7" fillId="0" borderId="0" xfId="0" applyNumberFormat="1" applyFont="1" applyFill="1" applyBorder="1"/>
    <xf numFmtId="0" fontId="23" fillId="3" borderId="4" xfId="0" applyFont="1" applyFill="1" applyBorder="1" applyAlignment="1">
      <alignment horizontal="center"/>
    </xf>
    <xf numFmtId="37" fontId="22" fillId="3" borderId="0" xfId="0" applyNumberFormat="1" applyFont="1" applyFill="1" applyBorder="1" applyAlignment="1" applyProtection="1">
      <alignment horizontal="right" vertical="center" wrapText="1"/>
      <protection locked="0"/>
    </xf>
    <xf numFmtId="37" fontId="9" fillId="2" borderId="0" xfId="0" applyNumberFormat="1" applyFont="1" applyFill="1" applyBorder="1" applyAlignment="1" applyProtection="1">
      <alignment horizontal="right" vertical="center" wrapText="1"/>
      <protection locked="0"/>
    </xf>
    <xf numFmtId="37" fontId="9" fillId="2" borderId="7" xfId="0" applyNumberFormat="1" applyFont="1" applyFill="1" applyBorder="1" applyAlignment="1" applyProtection="1">
      <alignment horizontal="right" vertical="center" wrapText="1"/>
      <protection locked="0"/>
    </xf>
    <xf numFmtId="7" fontId="15" fillId="4" borderId="11" xfId="0" applyNumberFormat="1" applyFont="1" applyFill="1" applyBorder="1"/>
    <xf numFmtId="37" fontId="10" fillId="3" borderId="2" xfId="0" applyNumberFormat="1" applyFont="1" applyFill="1" applyBorder="1" applyAlignment="1" applyProtection="1">
      <alignment horizontal="left"/>
    </xf>
    <xf numFmtId="0" fontId="22" fillId="3" borderId="6" xfId="0" applyFont="1" applyFill="1" applyBorder="1"/>
    <xf numFmtId="37" fontId="11" fillId="3" borderId="3" xfId="0" applyNumberFormat="1" applyFont="1" applyFill="1" applyBorder="1" applyAlignment="1" applyProtection="1">
      <alignment horizontal="left"/>
    </xf>
    <xf numFmtId="37" fontId="11" fillId="3" borderId="8" xfId="0" quotePrefix="1" applyNumberFormat="1" applyFont="1" applyFill="1" applyBorder="1" applyAlignment="1" applyProtection="1">
      <alignment horizontal="left"/>
    </xf>
    <xf numFmtId="37" fontId="20" fillId="3" borderId="3" xfId="0" applyNumberFormat="1" applyFont="1" applyFill="1" applyBorder="1" applyAlignment="1" applyProtection="1">
      <alignment horizontal="left"/>
    </xf>
    <xf numFmtId="37" fontId="21" fillId="3" borderId="3" xfId="0" applyNumberFormat="1" applyFont="1" applyFill="1" applyBorder="1" applyAlignment="1" applyProtection="1">
      <alignment horizontal="left" vertical="center" wrapText="1"/>
    </xf>
    <xf numFmtId="37" fontId="10" fillId="3" borderId="3" xfId="0" applyNumberFormat="1" applyFont="1" applyFill="1" applyBorder="1" applyAlignment="1" applyProtection="1">
      <alignment horizontal="left"/>
    </xf>
    <xf numFmtId="0" fontId="3" fillId="0" borderId="0" xfId="0" applyFont="1" applyFill="1" applyAlignment="1">
      <alignment vertical="center"/>
    </xf>
    <xf numFmtId="37" fontId="17" fillId="0" borderId="0" xfId="0" applyNumberFormat="1" applyFont="1" applyFill="1" applyBorder="1" applyAlignment="1" applyProtection="1">
      <alignment horizontal="left" vertical="center"/>
    </xf>
    <xf numFmtId="0" fontId="18" fillId="0" borderId="0" xfId="0" applyFont="1" applyFill="1" applyBorder="1" applyAlignment="1">
      <alignment horizontal="center" vertical="center"/>
    </xf>
    <xf numFmtId="170" fontId="3" fillId="0" borderId="0" xfId="0" applyNumberFormat="1" applyFont="1" applyFill="1"/>
    <xf numFmtId="0" fontId="3" fillId="0" borderId="0" xfId="0" applyFont="1" applyFill="1"/>
    <xf numFmtId="9" fontId="3" fillId="0" borderId="2" xfId="0" applyNumberFormat="1" applyFont="1" applyFill="1" applyBorder="1"/>
    <xf numFmtId="168" fontId="3" fillId="0" borderId="6" xfId="0" applyNumberFormat="1" applyFont="1" applyFill="1" applyBorder="1"/>
    <xf numFmtId="0" fontId="3" fillId="0" borderId="8" xfId="0" applyFont="1" applyBorder="1"/>
    <xf numFmtId="168" fontId="3" fillId="0" borderId="4" xfId="0" applyNumberFormat="1" applyFont="1" applyFill="1" applyBorder="1"/>
    <xf numFmtId="0" fontId="3" fillId="0" borderId="4" xfId="0" applyFont="1" applyFill="1" applyBorder="1"/>
    <xf numFmtId="168" fontId="3" fillId="6" borderId="6" xfId="0" applyNumberFormat="1" applyFont="1" applyFill="1" applyBorder="1"/>
    <xf numFmtId="168" fontId="3" fillId="6" borderId="4" xfId="0" applyNumberFormat="1" applyFont="1" applyFill="1" applyBorder="1"/>
    <xf numFmtId="168" fontId="3" fillId="7" borderId="9" xfId="0" applyNumberFormat="1" applyFont="1" applyFill="1" applyBorder="1"/>
    <xf numFmtId="168" fontId="3" fillId="7" borderId="5" xfId="0" applyNumberFormat="1" applyFont="1" applyFill="1" applyBorder="1"/>
    <xf numFmtId="0" fontId="3" fillId="0" borderId="3" xfId="0" applyFont="1" applyBorder="1"/>
    <xf numFmtId="0" fontId="3" fillId="0" borderId="7" xfId="0" applyFont="1" applyFill="1" applyBorder="1"/>
    <xf numFmtId="170" fontId="3" fillId="0" borderId="7" xfId="0" applyNumberFormat="1" applyFont="1" applyFill="1" applyBorder="1"/>
    <xf numFmtId="37" fontId="3" fillId="0" borderId="3" xfId="0" applyNumberFormat="1" applyFont="1" applyBorder="1" applyProtection="1"/>
    <xf numFmtId="38" fontId="3" fillId="0" borderId="5" xfId="1" applyNumberFormat="1" applyFont="1" applyFill="1" applyBorder="1" applyProtection="1"/>
    <xf numFmtId="37" fontId="5" fillId="0" borderId="3" xfId="0" applyNumberFormat="1" applyFont="1" applyBorder="1" applyAlignment="1" applyProtection="1">
      <alignment horizontal="center" vertical="center" wrapText="1"/>
    </xf>
    <xf numFmtId="5" fontId="3" fillId="0" borderId="7" xfId="0" applyNumberFormat="1" applyFont="1" applyFill="1" applyBorder="1" applyAlignment="1" applyProtection="1">
      <alignment vertical="center"/>
    </xf>
    <xf numFmtId="37" fontId="3" fillId="0" borderId="3" xfId="0" applyNumberFormat="1" applyFont="1" applyBorder="1" applyAlignment="1" applyProtection="1">
      <alignment horizontal="left"/>
    </xf>
    <xf numFmtId="5" fontId="3" fillId="0" borderId="5" xfId="0" applyNumberFormat="1" applyFont="1" applyFill="1" applyBorder="1" applyProtection="1"/>
    <xf numFmtId="0" fontId="22" fillId="3" borderId="0" xfId="0" applyFont="1" applyFill="1" applyBorder="1" applyAlignment="1">
      <alignment horizontal="right"/>
    </xf>
    <xf numFmtId="37" fontId="22" fillId="3" borderId="0" xfId="0" applyNumberFormat="1" applyFont="1" applyFill="1" applyBorder="1" applyAlignment="1" applyProtection="1">
      <alignment horizontal="right"/>
      <protection locked="0"/>
    </xf>
    <xf numFmtId="9" fontId="9" fillId="2" borderId="3" xfId="0" applyNumberFormat="1" applyFont="1" applyFill="1" applyBorder="1"/>
    <xf numFmtId="5" fontId="7" fillId="2" borderId="7" xfId="0" applyNumberFormat="1" applyFont="1" applyFill="1" applyBorder="1" applyAlignment="1" applyProtection="1">
      <alignment horizontal="center"/>
    </xf>
    <xf numFmtId="9" fontId="9" fillId="2" borderId="0" xfId="0" applyNumberFormat="1" applyFont="1" applyFill="1" applyBorder="1"/>
    <xf numFmtId="5" fontId="7" fillId="2" borderId="0" xfId="0" applyNumberFormat="1" applyFont="1" applyFill="1" applyBorder="1" applyAlignment="1" applyProtection="1">
      <alignment horizontal="center"/>
    </xf>
    <xf numFmtId="37" fontId="11" fillId="3" borderId="8" xfId="0" applyNumberFormat="1" applyFont="1" applyFill="1" applyBorder="1" applyAlignment="1" applyProtection="1">
      <alignment horizontal="left"/>
    </xf>
    <xf numFmtId="9" fontId="9" fillId="2" borderId="8" xfId="0" applyNumberFormat="1" applyFont="1" applyFill="1" applyBorder="1"/>
    <xf numFmtId="9" fontId="9" fillId="2" borderId="4" xfId="0" applyNumberFormat="1" applyFont="1" applyFill="1" applyBorder="1"/>
    <xf numFmtId="37" fontId="11" fillId="3" borderId="2" xfId="0" applyNumberFormat="1" applyFont="1" applyFill="1" applyBorder="1" applyAlignment="1" applyProtection="1">
      <alignment horizontal="left"/>
    </xf>
    <xf numFmtId="1" fontId="22" fillId="3" borderId="6" xfId="0" applyNumberFormat="1" applyFont="1" applyFill="1" applyBorder="1" applyAlignment="1">
      <alignment horizontal="center"/>
    </xf>
    <xf numFmtId="49" fontId="9" fillId="2" borderId="2" xfId="1" applyNumberFormat="1" applyFont="1" applyFill="1" applyBorder="1" applyAlignment="1">
      <alignment horizontal="right" vertical="center"/>
    </xf>
    <xf numFmtId="49" fontId="9" fillId="2" borderId="9" xfId="1" applyNumberFormat="1" applyFont="1" applyFill="1" applyBorder="1" applyAlignment="1">
      <alignment vertical="center"/>
    </xf>
    <xf numFmtId="1" fontId="9" fillId="2" borderId="2" xfId="0" applyNumberFormat="1" applyFont="1" applyFill="1" applyBorder="1" applyAlignment="1"/>
    <xf numFmtId="1" fontId="9" fillId="2" borderId="6" xfId="0" applyNumberFormat="1" applyFont="1" applyFill="1" applyBorder="1" applyAlignment="1"/>
    <xf numFmtId="37" fontId="22" fillId="3" borderId="0" xfId="0" applyNumberFormat="1" applyFont="1" applyFill="1" applyBorder="1" applyAlignment="1" applyProtection="1">
      <alignment horizontal="center"/>
      <protection locked="0"/>
    </xf>
    <xf numFmtId="9" fontId="22" fillId="3" borderId="4" xfId="0" applyNumberFormat="1" applyFont="1" applyFill="1" applyBorder="1" applyAlignment="1">
      <alignment horizontal="center"/>
    </xf>
    <xf numFmtId="169" fontId="22" fillId="3" borderId="0" xfId="0" applyNumberFormat="1" applyFont="1" applyFill="1" applyBorder="1" applyAlignment="1" applyProtection="1">
      <alignment horizontal="center"/>
      <protection locked="0"/>
    </xf>
    <xf numFmtId="9" fontId="9" fillId="2" borderId="8" xfId="3" applyFont="1" applyFill="1" applyBorder="1"/>
    <xf numFmtId="37" fontId="26" fillId="4" borderId="3" xfId="0" applyNumberFormat="1" applyFont="1" applyFill="1" applyBorder="1" applyAlignment="1">
      <alignment horizontal="left" vertical="center" wrapText="1"/>
    </xf>
    <xf numFmtId="37" fontId="22" fillId="4" borderId="0" xfId="0" applyNumberFormat="1" applyFont="1" applyFill="1" applyBorder="1" applyAlignment="1" applyProtection="1">
      <alignment horizontal="center"/>
      <protection locked="0"/>
    </xf>
    <xf numFmtId="0" fontId="27" fillId="4" borderId="2" xfId="0" applyFont="1" applyFill="1" applyBorder="1" applyAlignment="1">
      <alignment vertical="center" wrapText="1"/>
    </xf>
    <xf numFmtId="0" fontId="27" fillId="4" borderId="19" xfId="0" applyFont="1" applyFill="1" applyBorder="1" applyAlignment="1">
      <alignment horizontal="right" vertical="center" wrapText="1"/>
    </xf>
    <xf numFmtId="0" fontId="27" fillId="4" borderId="20" xfId="0" applyFont="1" applyFill="1" applyBorder="1" applyAlignment="1">
      <alignment vertical="center" wrapText="1"/>
    </xf>
    <xf numFmtId="0" fontId="27" fillId="4" borderId="9" xfId="0" applyFont="1" applyFill="1" applyBorder="1" applyAlignment="1">
      <alignment horizontal="right" vertical="center" wrapText="1"/>
    </xf>
    <xf numFmtId="0" fontId="27" fillId="4" borderId="6" xfId="0" applyFont="1" applyFill="1" applyBorder="1" applyAlignment="1">
      <alignment vertical="center" wrapText="1"/>
    </xf>
    <xf numFmtId="0" fontId="27" fillId="4" borderId="9" xfId="0" applyFont="1" applyFill="1" applyBorder="1" applyAlignment="1">
      <alignment horizontal="left" vertical="center" wrapText="1"/>
    </xf>
    <xf numFmtId="37" fontId="26" fillId="4" borderId="3" xfId="0" applyNumberFormat="1" applyFont="1" applyFill="1" applyBorder="1" applyAlignment="1">
      <alignment horizontal="left"/>
    </xf>
    <xf numFmtId="0" fontId="7" fillId="4" borderId="3" xfId="0" applyFont="1" applyFill="1" applyBorder="1"/>
    <xf numFmtId="0" fontId="7" fillId="4" borderId="0" xfId="0" applyFont="1" applyFill="1" applyBorder="1"/>
    <xf numFmtId="37" fontId="28" fillId="4" borderId="8" xfId="0" applyNumberFormat="1" applyFont="1" applyFill="1" applyBorder="1" applyAlignment="1">
      <alignment horizontal="left"/>
    </xf>
    <xf numFmtId="0" fontId="7" fillId="4" borderId="4" xfId="0" applyFont="1" applyFill="1" applyBorder="1"/>
    <xf numFmtId="0" fontId="22" fillId="4" borderId="4" xfId="0" applyFont="1" applyFill="1" applyBorder="1" applyAlignment="1">
      <alignment horizontal="center"/>
    </xf>
    <xf numFmtId="7" fontId="7" fillId="4" borderId="10" xfId="0" applyNumberFormat="1" applyFont="1" applyFill="1" applyBorder="1"/>
    <xf numFmtId="37" fontId="24" fillId="5" borderId="13" xfId="0" applyNumberFormat="1" applyFont="1" applyFill="1" applyBorder="1" applyAlignment="1" applyProtection="1">
      <alignment horizontal="left" vertical="center"/>
    </xf>
    <xf numFmtId="0" fontId="7" fillId="5" borderId="15" xfId="0" applyFont="1" applyFill="1" applyBorder="1" applyAlignment="1">
      <alignment vertical="center"/>
    </xf>
    <xf numFmtId="0" fontId="23" fillId="5" borderId="15" xfId="0" applyFont="1" applyFill="1" applyBorder="1" applyAlignment="1">
      <alignment horizontal="center" vertical="center"/>
    </xf>
    <xf numFmtId="9" fontId="29" fillId="5" borderId="13" xfId="0" applyNumberFormat="1" applyFont="1" applyFill="1" applyBorder="1" applyAlignment="1" applyProtection="1">
      <alignment vertical="center"/>
    </xf>
    <xf numFmtId="170" fontId="24" fillId="5" borderId="14" xfId="0" applyNumberFormat="1" applyFont="1" applyFill="1" applyBorder="1" applyAlignment="1" applyProtection="1">
      <alignment vertical="center"/>
    </xf>
    <xf numFmtId="5" fontId="24" fillId="5" borderId="13" xfId="0" applyNumberFormat="1" applyFont="1" applyFill="1" applyBorder="1" applyAlignment="1" applyProtection="1">
      <alignment vertical="center"/>
    </xf>
    <xf numFmtId="5" fontId="24" fillId="5" borderId="15" xfId="0" applyNumberFormat="1" applyFont="1" applyFill="1" applyBorder="1" applyAlignment="1" applyProtection="1">
      <alignment vertical="center"/>
    </xf>
    <xf numFmtId="170" fontId="24" fillId="5" borderId="15" xfId="0" applyNumberFormat="1" applyFont="1" applyFill="1" applyBorder="1" applyAlignment="1" applyProtection="1">
      <alignment vertical="center"/>
    </xf>
    <xf numFmtId="37" fontId="9" fillId="2" borderId="7" xfId="0" applyNumberFormat="1" applyFont="1" applyFill="1" applyBorder="1" applyAlignment="1" applyProtection="1">
      <alignment horizontal="right" vertical="center" wrapText="1"/>
      <protection locked="0"/>
    </xf>
    <xf numFmtId="37" fontId="9" fillId="2" borderId="0" xfId="0" applyNumberFormat="1" applyFont="1" applyFill="1" applyBorder="1" applyAlignment="1" applyProtection="1">
      <alignment horizontal="right" vertical="center" wrapText="1"/>
      <protection locked="0"/>
    </xf>
    <xf numFmtId="37" fontId="22" fillId="3" borderId="0" xfId="0" applyNumberFormat="1" applyFont="1" applyFill="1" applyBorder="1" applyAlignment="1" applyProtection="1">
      <alignment horizontal="right" vertical="center" wrapText="1"/>
      <protection locked="0"/>
    </xf>
    <xf numFmtId="37" fontId="3" fillId="0" borderId="2" xfId="0" applyNumberFormat="1" applyFont="1" applyBorder="1" applyProtection="1"/>
    <xf numFmtId="0" fontId="3" fillId="0" borderId="6" xfId="0" applyFont="1" applyBorder="1"/>
    <xf numFmtId="7" fontId="4" fillId="0" borderId="9" xfId="0" applyNumberFormat="1" applyFont="1" applyFill="1" applyBorder="1" applyProtection="1"/>
    <xf numFmtId="0" fontId="15" fillId="4" borderId="0" xfId="0" applyFont="1" applyFill="1" applyBorder="1" applyAlignment="1">
      <alignment horizontal="center" vertical="center" wrapText="1"/>
    </xf>
    <xf numFmtId="37" fontId="25" fillId="5" borderId="2" xfId="0" applyNumberFormat="1" applyFont="1" applyFill="1" applyBorder="1" applyAlignment="1">
      <alignment horizontal="center" vertical="center"/>
    </xf>
    <xf numFmtId="0" fontId="19" fillId="5" borderId="6" xfId="0" applyFont="1" applyFill="1" applyBorder="1" applyAlignment="1">
      <alignment horizontal="center" vertical="center"/>
    </xf>
    <xf numFmtId="0" fontId="19" fillId="5" borderId="9" xfId="0" applyFont="1" applyFill="1" applyBorder="1" applyAlignment="1">
      <alignment horizontal="center" vertical="center"/>
    </xf>
    <xf numFmtId="0" fontId="19" fillId="5" borderId="3" xfId="0" applyFont="1" applyFill="1" applyBorder="1" applyAlignment="1">
      <alignment horizontal="center" vertical="center"/>
    </xf>
    <xf numFmtId="0" fontId="19" fillId="5" borderId="0" xfId="0" applyFont="1" applyFill="1" applyBorder="1" applyAlignment="1">
      <alignment horizontal="center" vertical="center"/>
    </xf>
    <xf numFmtId="0" fontId="19" fillId="5" borderId="7" xfId="0" applyFont="1" applyFill="1" applyBorder="1" applyAlignment="1">
      <alignment horizontal="center" vertical="center"/>
    </xf>
    <xf numFmtId="5" fontId="17" fillId="5" borderId="7" xfId="0" applyNumberFormat="1" applyFont="1" applyFill="1" applyBorder="1" applyAlignment="1" applyProtection="1">
      <alignment horizontal="center" vertical="center"/>
    </xf>
    <xf numFmtId="0" fontId="19" fillId="5" borderId="5" xfId="0" applyFont="1" applyFill="1" applyBorder="1" applyAlignment="1">
      <alignment horizontal="center" vertical="center"/>
    </xf>
    <xf numFmtId="0" fontId="4" fillId="0" borderId="8" xfId="0" applyFont="1" applyBorder="1" applyAlignment="1">
      <alignment horizontal="right" vertical="center" wrapText="1"/>
    </xf>
    <xf numFmtId="0" fontId="4" fillId="0" borderId="4" xfId="0" applyFont="1" applyBorder="1" applyAlignment="1">
      <alignment horizontal="right" vertical="center" wrapText="1"/>
    </xf>
    <xf numFmtId="3" fontId="9" fillId="2" borderId="2" xfId="0" applyNumberFormat="1" applyFont="1" applyFill="1" applyBorder="1" applyAlignment="1">
      <alignment horizontal="center"/>
    </xf>
    <xf numFmtId="3" fontId="9" fillId="2" borderId="9" xfId="0" applyNumberFormat="1" applyFont="1" applyFill="1" applyBorder="1" applyAlignment="1">
      <alignment horizontal="center"/>
    </xf>
    <xf numFmtId="3" fontId="9" fillId="2" borderId="6" xfId="0" applyNumberFormat="1" applyFont="1" applyFill="1" applyBorder="1" applyAlignment="1">
      <alignment horizontal="center"/>
    </xf>
    <xf numFmtId="3" fontId="9" fillId="2" borderId="2" xfId="1" applyNumberFormat="1" applyFont="1" applyFill="1" applyBorder="1" applyAlignment="1">
      <alignment horizontal="center" vertical="center"/>
    </xf>
    <xf numFmtId="3" fontId="7" fillId="2" borderId="9" xfId="1" applyNumberFormat="1" applyFont="1" applyFill="1" applyBorder="1" applyAlignment="1">
      <alignment horizontal="center" vertical="center"/>
    </xf>
    <xf numFmtId="3" fontId="7" fillId="2" borderId="9" xfId="0" applyNumberFormat="1" applyFont="1" applyFill="1" applyBorder="1" applyAlignment="1">
      <alignment horizontal="center"/>
    </xf>
    <xf numFmtId="3" fontId="7" fillId="2" borderId="6" xfId="0" applyNumberFormat="1" applyFont="1" applyFill="1" applyBorder="1" applyAlignment="1">
      <alignment horizontal="center"/>
    </xf>
    <xf numFmtId="3" fontId="9" fillId="2" borderId="9" xfId="1" applyNumberFormat="1" applyFont="1" applyFill="1" applyBorder="1" applyAlignment="1">
      <alignment horizontal="center" vertical="center"/>
    </xf>
    <xf numFmtId="9" fontId="9" fillId="2" borderId="6" xfId="0" applyNumberFormat="1" applyFont="1" applyFill="1" applyBorder="1" applyAlignment="1">
      <alignment horizontal="center" vertical="center"/>
    </xf>
    <xf numFmtId="9" fontId="9" fillId="2" borderId="9" xfId="0" applyNumberFormat="1" applyFont="1" applyFill="1" applyBorder="1" applyAlignment="1">
      <alignment horizontal="center" vertical="center"/>
    </xf>
    <xf numFmtId="171" fontId="9" fillId="2" borderId="2" xfId="1" applyNumberFormat="1" applyFont="1" applyFill="1" applyBorder="1" applyAlignment="1">
      <alignment horizontal="center" vertical="center"/>
    </xf>
    <xf numFmtId="171" fontId="9" fillId="2" borderId="9" xfId="1" applyNumberFormat="1" applyFont="1" applyFill="1" applyBorder="1" applyAlignment="1">
      <alignment horizontal="center" vertical="center"/>
    </xf>
    <xf numFmtId="171" fontId="9" fillId="2" borderId="2" xfId="0" applyNumberFormat="1" applyFont="1" applyFill="1" applyBorder="1" applyAlignment="1">
      <alignment horizontal="center"/>
    </xf>
    <xf numFmtId="171" fontId="9" fillId="2" borderId="9" xfId="0" applyNumberFormat="1" applyFont="1" applyFill="1" applyBorder="1" applyAlignment="1">
      <alignment horizontal="center"/>
    </xf>
    <xf numFmtId="171" fontId="9" fillId="2" borderId="6" xfId="0" applyNumberFormat="1" applyFont="1" applyFill="1" applyBorder="1" applyAlignment="1">
      <alignment horizontal="center"/>
    </xf>
    <xf numFmtId="0" fontId="12" fillId="2" borderId="2" xfId="0" applyFont="1" applyFill="1" applyBorder="1" applyAlignment="1">
      <alignment horizontal="center"/>
    </xf>
    <xf numFmtId="0" fontId="12" fillId="2" borderId="9" xfId="0" applyFont="1" applyFill="1" applyBorder="1" applyAlignment="1">
      <alignment horizontal="center"/>
    </xf>
    <xf numFmtId="0" fontId="12" fillId="2" borderId="6" xfId="0" applyFont="1" applyFill="1" applyBorder="1" applyAlignment="1">
      <alignment horizontal="center"/>
    </xf>
    <xf numFmtId="37" fontId="17" fillId="5" borderId="16" xfId="0" applyNumberFormat="1" applyFont="1" applyFill="1" applyBorder="1" applyAlignment="1" applyProtection="1">
      <alignment horizontal="center"/>
    </xf>
    <xf numFmtId="37" fontId="17" fillId="5" borderId="17" xfId="0" applyNumberFormat="1" applyFont="1" applyFill="1" applyBorder="1" applyAlignment="1" applyProtection="1">
      <alignment horizontal="center"/>
    </xf>
    <xf numFmtId="37" fontId="17" fillId="5" borderId="18" xfId="0" applyNumberFormat="1" applyFont="1" applyFill="1" applyBorder="1" applyAlignment="1" applyProtection="1">
      <alignment horizontal="center"/>
    </xf>
    <xf numFmtId="9" fontId="9" fillId="2" borderId="2" xfId="0" applyNumberFormat="1" applyFont="1" applyFill="1" applyBorder="1" applyAlignment="1">
      <alignment horizontal="center" vertical="center"/>
    </xf>
    <xf numFmtId="5" fontId="7" fillId="2" borderId="2" xfId="0" applyNumberFormat="1" applyFont="1" applyFill="1" applyBorder="1" applyAlignment="1">
      <alignment horizontal="center"/>
    </xf>
    <xf numFmtId="5" fontId="7" fillId="2" borderId="9" xfId="0" applyNumberFormat="1" applyFont="1" applyFill="1" applyBorder="1" applyAlignment="1">
      <alignment horizontal="center"/>
    </xf>
    <xf numFmtId="5" fontId="7" fillId="2" borderId="6" xfId="0" applyNumberFormat="1" applyFont="1" applyFill="1" applyBorder="1" applyAlignment="1">
      <alignment horizontal="center"/>
    </xf>
    <xf numFmtId="7" fontId="7" fillId="2" borderId="2" xfId="0" applyNumberFormat="1" applyFont="1" applyFill="1" applyBorder="1" applyAlignment="1">
      <alignment horizontal="center"/>
    </xf>
    <xf numFmtId="7" fontId="7" fillId="2" borderId="9" xfId="0" applyNumberFormat="1" applyFont="1" applyFill="1" applyBorder="1" applyAlignment="1">
      <alignment horizontal="center"/>
    </xf>
    <xf numFmtId="7" fontId="7" fillId="2" borderId="6" xfId="0" applyNumberFormat="1" applyFont="1" applyFill="1" applyBorder="1" applyAlignment="1">
      <alignment horizontal="center"/>
    </xf>
    <xf numFmtId="5" fontId="9" fillId="2" borderId="2" xfId="0" applyNumberFormat="1" applyFont="1" applyFill="1" applyBorder="1" applyAlignment="1" applyProtection="1">
      <alignment horizontal="right"/>
      <protection locked="0"/>
    </xf>
    <xf numFmtId="5" fontId="9" fillId="2" borderId="9" xfId="0" applyNumberFormat="1" applyFont="1" applyFill="1" applyBorder="1" applyAlignment="1" applyProtection="1">
      <alignment horizontal="right"/>
      <protection locked="0"/>
    </xf>
    <xf numFmtId="37" fontId="9" fillId="2" borderId="3" xfId="0" applyNumberFormat="1" applyFont="1" applyFill="1" applyBorder="1" applyAlignment="1" applyProtection="1">
      <alignment horizontal="right"/>
      <protection locked="0"/>
    </xf>
    <xf numFmtId="37" fontId="9" fillId="2" borderId="7" xfId="0" applyNumberFormat="1" applyFont="1" applyFill="1" applyBorder="1" applyAlignment="1" applyProtection="1">
      <alignment horizontal="right"/>
      <protection locked="0"/>
    </xf>
    <xf numFmtId="37" fontId="24" fillId="5" borderId="2" xfId="0" applyNumberFormat="1" applyFont="1" applyFill="1" applyBorder="1" applyAlignment="1" applyProtection="1">
      <alignment horizontal="center" vertical="center"/>
    </xf>
    <xf numFmtId="37" fontId="24" fillId="5" borderId="6" xfId="0" applyNumberFormat="1" applyFont="1" applyFill="1" applyBorder="1" applyAlignment="1" applyProtection="1">
      <alignment horizontal="center" vertical="center"/>
    </xf>
    <xf numFmtId="37" fontId="24" fillId="5" borderId="9" xfId="0" applyNumberFormat="1" applyFont="1" applyFill="1" applyBorder="1" applyAlignment="1" applyProtection="1">
      <alignment horizontal="center" vertical="center"/>
    </xf>
    <xf numFmtId="37" fontId="24" fillId="5" borderId="12" xfId="0" applyNumberFormat="1" applyFont="1" applyFill="1" applyBorder="1" applyAlignment="1" applyProtection="1">
      <alignment horizontal="center" vertical="center"/>
    </xf>
    <xf numFmtId="37" fontId="24" fillId="5" borderId="11" xfId="0" applyNumberFormat="1" applyFont="1" applyFill="1" applyBorder="1" applyAlignment="1" applyProtection="1">
      <alignment horizontal="center" vertical="center"/>
    </xf>
    <xf numFmtId="37" fontId="24" fillId="5" borderId="0" xfId="0" applyNumberFormat="1" applyFont="1" applyFill="1" applyBorder="1" applyAlignment="1" applyProtection="1">
      <alignment horizontal="center" vertical="center"/>
    </xf>
    <xf numFmtId="37" fontId="24" fillId="5" borderId="7" xfId="0" applyNumberFormat="1" applyFont="1" applyFill="1" applyBorder="1" applyAlignment="1" applyProtection="1">
      <alignment horizontal="center" vertical="center"/>
    </xf>
    <xf numFmtId="37" fontId="22" fillId="3" borderId="3" xfId="0" applyNumberFormat="1" applyFont="1" applyFill="1" applyBorder="1" applyAlignment="1" applyProtection="1">
      <alignment horizontal="right" vertical="center" wrapText="1"/>
      <protection locked="0"/>
    </xf>
    <xf numFmtId="37" fontId="22" fillId="3" borderId="0" xfId="0" applyNumberFormat="1" applyFont="1" applyFill="1" applyBorder="1" applyAlignment="1" applyProtection="1">
      <alignment horizontal="right" vertical="center" wrapText="1"/>
      <protection locked="0"/>
    </xf>
    <xf numFmtId="37" fontId="22" fillId="3" borderId="7" xfId="0" applyNumberFormat="1" applyFont="1" applyFill="1" applyBorder="1" applyAlignment="1" applyProtection="1">
      <alignment horizontal="right" vertical="center" wrapText="1"/>
      <protection locked="0"/>
    </xf>
    <xf numFmtId="37" fontId="9" fillId="2" borderId="3" xfId="0" applyNumberFormat="1" applyFont="1" applyFill="1" applyBorder="1" applyAlignment="1" applyProtection="1">
      <alignment horizontal="right" vertical="center" wrapText="1"/>
      <protection locked="0"/>
    </xf>
    <xf numFmtId="37" fontId="9" fillId="2" borderId="7" xfId="0" applyNumberFormat="1" applyFont="1" applyFill="1" applyBorder="1" applyAlignment="1" applyProtection="1">
      <alignment horizontal="right" vertical="center" wrapText="1"/>
      <protection locked="0"/>
    </xf>
    <xf numFmtId="37" fontId="9" fillId="2" borderId="0" xfId="0" applyNumberFormat="1" applyFont="1" applyFill="1" applyBorder="1" applyAlignment="1" applyProtection="1">
      <alignment horizontal="right" vertical="center" wrapText="1"/>
      <protection locked="0"/>
    </xf>
    <xf numFmtId="37" fontId="17" fillId="5" borderId="2" xfId="0" applyNumberFormat="1" applyFont="1" applyFill="1" applyBorder="1" applyAlignment="1" applyProtection="1">
      <alignment horizontal="center" vertical="center"/>
    </xf>
    <xf numFmtId="37" fontId="17" fillId="5" borderId="6" xfId="0" applyNumberFormat="1" applyFont="1" applyFill="1" applyBorder="1" applyAlignment="1" applyProtection="1">
      <alignment horizontal="center" vertical="center"/>
    </xf>
    <xf numFmtId="37" fontId="17" fillId="5" borderId="9" xfId="0" applyNumberFormat="1" applyFont="1" applyFill="1" applyBorder="1" applyAlignment="1" applyProtection="1">
      <alignment horizontal="center" vertical="center"/>
    </xf>
    <xf numFmtId="37" fontId="17" fillId="5" borderId="12" xfId="0" applyNumberFormat="1" applyFont="1" applyFill="1" applyBorder="1" applyAlignment="1" applyProtection="1">
      <alignment horizontal="center" vertical="center"/>
    </xf>
    <xf numFmtId="37" fontId="17" fillId="5" borderId="11" xfId="0" applyNumberFormat="1" applyFont="1" applyFill="1" applyBorder="1" applyAlignment="1" applyProtection="1">
      <alignment horizontal="center" vertical="center"/>
    </xf>
    <xf numFmtId="37" fontId="17" fillId="5" borderId="0" xfId="0" applyNumberFormat="1" applyFont="1" applyFill="1" applyBorder="1" applyAlignment="1" applyProtection="1">
      <alignment horizontal="center" vertical="center"/>
    </xf>
    <xf numFmtId="37" fontId="17" fillId="5" borderId="7" xfId="0" applyNumberFormat="1" applyFont="1" applyFill="1" applyBorder="1" applyAlignment="1" applyProtection="1">
      <alignment horizontal="center" vertical="center"/>
    </xf>
    <xf numFmtId="37" fontId="30" fillId="3" borderId="3" xfId="0" applyNumberFormat="1" applyFont="1" applyFill="1" applyBorder="1" applyAlignment="1" applyProtection="1">
      <alignment horizontal="left"/>
    </xf>
    <xf numFmtId="0" fontId="3" fillId="3" borderId="0" xfId="0" applyFont="1" applyFill="1" applyBorder="1"/>
    <xf numFmtId="37" fontId="4" fillId="3" borderId="0" xfId="0" applyNumberFormat="1" applyFont="1" applyFill="1" applyBorder="1" applyAlignment="1" applyProtection="1">
      <alignment horizontal="center"/>
    </xf>
    <xf numFmtId="0" fontId="4" fillId="2" borderId="16" xfId="0" applyFont="1" applyFill="1" applyBorder="1" applyAlignment="1">
      <alignment horizontal="right"/>
    </xf>
    <xf numFmtId="37" fontId="4" fillId="2" borderId="17" xfId="0" applyNumberFormat="1" applyFont="1" applyFill="1" applyBorder="1" applyAlignment="1" applyProtection="1">
      <alignment horizontal="right"/>
    </xf>
    <xf numFmtId="37" fontId="4" fillId="2" borderId="18" xfId="0" applyNumberFormat="1" applyFont="1" applyFill="1" applyBorder="1" applyAlignment="1" applyProtection="1">
      <alignment horizontal="right"/>
    </xf>
    <xf numFmtId="0" fontId="4" fillId="2" borderId="17" xfId="0" applyFont="1" applyFill="1" applyBorder="1" applyAlignment="1">
      <alignment horizontal="right"/>
    </xf>
    <xf numFmtId="37" fontId="31" fillId="3" borderId="3" xfId="0" applyNumberFormat="1" applyFont="1" applyFill="1" applyBorder="1" applyAlignment="1" applyProtection="1">
      <alignment horizontal="left" vertical="center" wrapText="1"/>
    </xf>
    <xf numFmtId="0" fontId="3" fillId="3" borderId="0" xfId="0" applyFont="1" applyFill="1" applyBorder="1" applyAlignment="1">
      <alignment vertical="center" wrapText="1"/>
    </xf>
    <xf numFmtId="37" fontId="14" fillId="3" borderId="0" xfId="0" applyNumberFormat="1" applyFont="1" applyFill="1" applyBorder="1" applyAlignment="1" applyProtection="1">
      <alignment horizontal="center" vertical="center" wrapText="1"/>
      <protection locked="0"/>
    </xf>
    <xf numFmtId="0" fontId="3" fillId="2" borderId="3" xfId="0" applyFont="1" applyFill="1" applyBorder="1" applyAlignment="1">
      <alignment vertical="center" wrapText="1"/>
    </xf>
    <xf numFmtId="37" fontId="32" fillId="2" borderId="0" xfId="0" applyNumberFormat="1" applyFont="1" applyFill="1" applyBorder="1" applyAlignment="1" applyProtection="1">
      <alignment horizontal="right" vertical="center" wrapText="1"/>
      <protection locked="0"/>
    </xf>
    <xf numFmtId="37" fontId="32" fillId="2" borderId="7" xfId="0" applyNumberFormat="1" applyFont="1" applyFill="1" applyBorder="1" applyAlignment="1" applyProtection="1">
      <alignment horizontal="right" vertical="center" wrapText="1"/>
      <protection locked="0"/>
    </xf>
    <xf numFmtId="37" fontId="14" fillId="3" borderId="3" xfId="0" applyNumberFormat="1" applyFont="1" applyFill="1" applyBorder="1" applyAlignment="1" applyProtection="1">
      <alignment horizontal="right" vertical="center" wrapText="1"/>
      <protection locked="0"/>
    </xf>
    <xf numFmtId="37" fontId="14" fillId="3" borderId="0" xfId="0" applyNumberFormat="1" applyFont="1" applyFill="1" applyBorder="1" applyAlignment="1" applyProtection="1">
      <alignment horizontal="right" vertical="center" wrapText="1"/>
      <protection locked="0"/>
    </xf>
    <xf numFmtId="37" fontId="14" fillId="3" borderId="7" xfId="0" applyNumberFormat="1" applyFont="1" applyFill="1" applyBorder="1" applyAlignment="1" applyProtection="1">
      <alignment horizontal="right" vertical="center" wrapText="1"/>
      <protection locked="0"/>
    </xf>
    <xf numFmtId="37" fontId="32" fillId="2" borderId="3" xfId="0" applyNumberFormat="1" applyFont="1" applyFill="1" applyBorder="1" applyAlignment="1" applyProtection="1">
      <alignment horizontal="right" vertical="center" wrapText="1"/>
      <protection locked="0"/>
    </xf>
    <xf numFmtId="37" fontId="32" fillId="2" borderId="7" xfId="0" applyNumberFormat="1" applyFont="1" applyFill="1" applyBorder="1" applyAlignment="1" applyProtection="1">
      <alignment horizontal="right" vertical="center" wrapText="1"/>
      <protection locked="0"/>
    </xf>
    <xf numFmtId="37" fontId="32" fillId="2" borderId="0" xfId="0" applyNumberFormat="1" applyFont="1" applyFill="1" applyBorder="1" applyAlignment="1" applyProtection="1">
      <alignment horizontal="right" vertical="center" wrapText="1"/>
      <protection locked="0"/>
    </xf>
    <xf numFmtId="0" fontId="3" fillId="3" borderId="3" xfId="0" applyFont="1" applyFill="1" applyBorder="1"/>
    <xf numFmtId="37" fontId="14" fillId="3" borderId="0" xfId="0" applyNumberFormat="1" applyFont="1" applyFill="1" applyBorder="1" applyAlignment="1" applyProtection="1">
      <alignment horizontal="right" vertical="center" wrapText="1"/>
      <protection locked="0"/>
    </xf>
    <xf numFmtId="37" fontId="32" fillId="2" borderId="0" xfId="0" applyNumberFormat="1" applyFont="1" applyFill="1" applyBorder="1" applyAlignment="1" applyProtection="1">
      <alignment horizontal="right" vertical="center"/>
      <protection locked="0"/>
    </xf>
    <xf numFmtId="0" fontId="3" fillId="2" borderId="3" xfId="0" applyFont="1" applyFill="1" applyBorder="1" applyAlignment="1">
      <alignment horizontal="right" vertical="center"/>
    </xf>
    <xf numFmtId="37" fontId="32" fillId="2" borderId="7" xfId="0" applyNumberFormat="1" applyFont="1" applyFill="1" applyBorder="1" applyAlignment="1" applyProtection="1">
      <alignment horizontal="right" vertical="center"/>
      <protection locked="0"/>
    </xf>
    <xf numFmtId="0" fontId="3" fillId="2" borderId="0" xfId="0" applyFont="1" applyFill="1" applyBorder="1" applyAlignment="1">
      <alignment horizontal="right" vertical="center"/>
    </xf>
    <xf numFmtId="0" fontId="3" fillId="3" borderId="8" xfId="0" applyFont="1" applyFill="1" applyBorder="1"/>
    <xf numFmtId="0" fontId="3" fillId="3" borderId="4" xfId="0" applyFont="1" applyFill="1" applyBorder="1"/>
    <xf numFmtId="0" fontId="14" fillId="3" borderId="4" xfId="0" applyFont="1" applyFill="1" applyBorder="1" applyAlignment="1">
      <alignment horizontal="center"/>
    </xf>
    <xf numFmtId="0" fontId="3" fillId="2" borderId="7" xfId="0" applyFont="1" applyFill="1" applyBorder="1"/>
    <xf numFmtId="0" fontId="3" fillId="2" borderId="8" xfId="0" applyFont="1" applyFill="1" applyBorder="1"/>
    <xf numFmtId="0" fontId="3" fillId="2" borderId="5" xfId="0" applyFont="1" applyFill="1" applyBorder="1"/>
    <xf numFmtId="37" fontId="33" fillId="3" borderId="3" xfId="0" applyNumberFormat="1" applyFont="1" applyFill="1" applyBorder="1" applyAlignment="1" applyProtection="1">
      <alignment horizontal="left"/>
    </xf>
    <xf numFmtId="5" fontId="14" fillId="3" borderId="0" xfId="0" applyNumberFormat="1" applyFont="1" applyFill="1" applyBorder="1" applyAlignment="1" applyProtection="1">
      <alignment horizontal="center"/>
    </xf>
    <xf numFmtId="5" fontId="32" fillId="2" borderId="2" xfId="0" applyNumberFormat="1" applyFont="1" applyFill="1" applyBorder="1" applyAlignment="1" applyProtection="1">
      <alignment horizontal="right"/>
      <protection locked="0"/>
    </xf>
    <xf numFmtId="5" fontId="32" fillId="2" borderId="9" xfId="0" applyNumberFormat="1" applyFont="1" applyFill="1" applyBorder="1" applyAlignment="1" applyProtection="1">
      <alignment horizontal="right"/>
      <protection locked="0"/>
    </xf>
    <xf numFmtId="37" fontId="34" fillId="3" borderId="3" xfId="0" applyNumberFormat="1" applyFont="1" applyFill="1" applyBorder="1" applyAlignment="1" applyProtection="1">
      <alignment horizontal="left"/>
    </xf>
    <xf numFmtId="37" fontId="14" fillId="3" borderId="0" xfId="0" applyNumberFormat="1" applyFont="1" applyFill="1" applyBorder="1" applyAlignment="1" applyProtection="1">
      <alignment horizontal="center"/>
    </xf>
    <xf numFmtId="37" fontId="32" fillId="2" borderId="3" xfId="0" applyNumberFormat="1" applyFont="1" applyFill="1" applyBorder="1" applyAlignment="1" applyProtection="1">
      <alignment horizontal="right"/>
      <protection locked="0"/>
    </xf>
    <xf numFmtId="37" fontId="32" fillId="2" borderId="7" xfId="0" applyNumberFormat="1" applyFont="1" applyFill="1" applyBorder="1" applyAlignment="1" applyProtection="1">
      <alignment horizontal="right"/>
      <protection locked="0"/>
    </xf>
    <xf numFmtId="37" fontId="34" fillId="3" borderId="8" xfId="0" quotePrefix="1" applyNumberFormat="1" applyFont="1" applyFill="1" applyBorder="1" applyAlignment="1" applyProtection="1">
      <alignment horizontal="left"/>
    </xf>
    <xf numFmtId="37" fontId="14" fillId="3" borderId="4" xfId="2" applyNumberFormat="1" applyFont="1" applyFill="1" applyBorder="1" applyAlignment="1" applyProtection="1">
      <alignment horizontal="center"/>
    </xf>
    <xf numFmtId="7" fontId="3" fillId="2" borderId="4" xfId="0" applyNumberFormat="1" applyFont="1" applyFill="1" applyBorder="1" applyProtection="1"/>
    <xf numFmtId="5" fontId="3" fillId="2" borderId="8" xfId="0" applyNumberFormat="1" applyFont="1" applyFill="1" applyBorder="1"/>
    <xf numFmtId="7" fontId="3" fillId="2" borderId="5" xfId="0" applyNumberFormat="1" applyFont="1" applyFill="1" applyBorder="1" applyProtection="1"/>
    <xf numFmtId="5" fontId="3" fillId="2" borderId="4" xfId="0" applyNumberFormat="1" applyFont="1" applyFill="1" applyBorder="1"/>
    <xf numFmtId="0" fontId="14" fillId="3" borderId="0" xfId="0" applyFont="1" applyFill="1" applyBorder="1" applyAlignment="1">
      <alignment horizontal="center"/>
    </xf>
    <xf numFmtId="5" fontId="3" fillId="2" borderId="2" xfId="0" applyNumberFormat="1" applyFont="1" applyFill="1" applyBorder="1" applyAlignment="1">
      <alignment horizontal="center"/>
    </xf>
    <xf numFmtId="5" fontId="3" fillId="2" borderId="9" xfId="0" applyNumberFormat="1" applyFont="1" applyFill="1" applyBorder="1" applyAlignment="1">
      <alignment horizontal="center"/>
    </xf>
    <xf numFmtId="9" fontId="3" fillId="2" borderId="3" xfId="0" applyNumberFormat="1" applyFont="1" applyFill="1" applyBorder="1"/>
    <xf numFmtId="7" fontId="3" fillId="2" borderId="0" xfId="0" applyNumberFormat="1" applyFont="1" applyFill="1" applyBorder="1" applyProtection="1"/>
    <xf numFmtId="7" fontId="3" fillId="2" borderId="7" xfId="0" applyNumberFormat="1" applyFont="1" applyFill="1" applyBorder="1" applyProtection="1"/>
    <xf numFmtId="9" fontId="3" fillId="2" borderId="0" xfId="0" applyNumberFormat="1" applyFont="1" applyFill="1" applyBorder="1"/>
    <xf numFmtId="7" fontId="3" fillId="2" borderId="2" xfId="0" applyNumberFormat="1" applyFont="1" applyFill="1" applyBorder="1" applyAlignment="1">
      <alignment horizontal="center"/>
    </xf>
    <xf numFmtId="7" fontId="3" fillId="2" borderId="9" xfId="0" applyNumberFormat="1" applyFont="1" applyFill="1" applyBorder="1" applyAlignment="1">
      <alignment horizontal="center"/>
    </xf>
    <xf numFmtId="7" fontId="3" fillId="2" borderId="6" xfId="0" applyNumberFormat="1" applyFont="1" applyFill="1" applyBorder="1" applyAlignment="1">
      <alignment horizontal="center"/>
    </xf>
    <xf numFmtId="0" fontId="14" fillId="3" borderId="0" xfId="0" applyFont="1" applyFill="1" applyBorder="1" applyAlignment="1">
      <alignment horizontal="right"/>
    </xf>
    <xf numFmtId="7" fontId="32" fillId="2" borderId="0" xfId="0" applyNumberFormat="1" applyFont="1" applyFill="1" applyBorder="1" applyProtection="1"/>
    <xf numFmtId="7" fontId="32" fillId="2" borderId="7" xfId="0" applyNumberFormat="1" applyFont="1" applyFill="1" applyBorder="1" applyProtection="1"/>
    <xf numFmtId="37" fontId="33" fillId="3" borderId="2" xfId="0" applyNumberFormat="1" applyFont="1" applyFill="1" applyBorder="1" applyAlignment="1" applyProtection="1">
      <alignment horizontal="left"/>
    </xf>
    <xf numFmtId="0" fontId="3" fillId="3" borderId="6" xfId="0" applyFont="1" applyFill="1" applyBorder="1"/>
    <xf numFmtId="0" fontId="14" fillId="3" borderId="6" xfId="0" applyFont="1" applyFill="1" applyBorder="1" applyAlignment="1">
      <alignment horizontal="center"/>
    </xf>
    <xf numFmtId="0" fontId="35" fillId="2" borderId="2" xfId="0" applyFont="1" applyFill="1" applyBorder="1" applyAlignment="1">
      <alignment horizontal="center"/>
    </xf>
    <xf numFmtId="0" fontId="35" fillId="2" borderId="9" xfId="0" applyFont="1" applyFill="1" applyBorder="1" applyAlignment="1">
      <alignment horizontal="center"/>
    </xf>
    <xf numFmtId="0" fontId="35" fillId="2" borderId="6" xfId="0" applyFont="1" applyFill="1" applyBorder="1" applyAlignment="1">
      <alignment horizontal="center"/>
    </xf>
    <xf numFmtId="167" fontId="3" fillId="2" borderId="8" xfId="0" applyNumberFormat="1" applyFont="1" applyFill="1" applyBorder="1" applyProtection="1"/>
    <xf numFmtId="5" fontId="3" fillId="2" borderId="8" xfId="0" applyNumberFormat="1" applyFont="1" applyFill="1" applyBorder="1" applyProtection="1"/>
    <xf numFmtId="5" fontId="3" fillId="2" borderId="4" xfId="0" applyNumberFormat="1" applyFont="1" applyFill="1" applyBorder="1" applyProtection="1"/>
    <xf numFmtId="0" fontId="14" fillId="3" borderId="6" xfId="0" applyFont="1" applyFill="1" applyBorder="1"/>
    <xf numFmtId="168" fontId="32" fillId="2" borderId="2" xfId="0" applyNumberFormat="1" applyFont="1" applyFill="1" applyBorder="1"/>
    <xf numFmtId="17" fontId="32" fillId="2" borderId="6" xfId="0" applyNumberFormat="1" applyFont="1" applyFill="1" applyBorder="1" applyProtection="1">
      <protection locked="0"/>
    </xf>
    <xf numFmtId="17" fontId="32" fillId="2" borderId="9" xfId="0" applyNumberFormat="1" applyFont="1" applyFill="1" applyBorder="1" applyProtection="1">
      <protection locked="0"/>
    </xf>
    <xf numFmtId="168" fontId="32" fillId="2" borderId="6" xfId="0" applyNumberFormat="1" applyFont="1" applyFill="1" applyBorder="1"/>
    <xf numFmtId="14" fontId="14" fillId="3" borderId="0" xfId="0" applyNumberFormat="1" applyFont="1" applyFill="1" applyBorder="1" applyAlignment="1">
      <alignment horizontal="center"/>
    </xf>
    <xf numFmtId="168" fontId="3" fillId="0" borderId="3" xfId="0" applyNumberFormat="1" applyFont="1" applyFill="1" applyBorder="1"/>
    <xf numFmtId="0" fontId="18" fillId="3" borderId="4" xfId="0" applyFont="1" applyFill="1" applyBorder="1" applyAlignment="1">
      <alignment horizontal="center"/>
    </xf>
    <xf numFmtId="37" fontId="14" fillId="3" borderId="0" xfId="0" applyNumberFormat="1" applyFont="1" applyFill="1" applyBorder="1" applyAlignment="1" applyProtection="1">
      <alignment horizontal="right"/>
      <protection locked="0"/>
    </xf>
    <xf numFmtId="9" fontId="32" fillId="2" borderId="3" xfId="0" applyNumberFormat="1" applyFont="1" applyFill="1" applyBorder="1"/>
    <xf numFmtId="5" fontId="3" fillId="2" borderId="7" xfId="0" applyNumberFormat="1" applyFont="1" applyFill="1" applyBorder="1" applyAlignment="1" applyProtection="1">
      <alignment horizontal="center"/>
    </xf>
    <xf numFmtId="9" fontId="32" fillId="2" borderId="0" xfId="0" applyNumberFormat="1" applyFont="1" applyFill="1" applyBorder="1"/>
    <xf numFmtId="5" fontId="3" fillId="2" borderId="0" xfId="0" applyNumberFormat="1" applyFont="1" applyFill="1" applyBorder="1" applyAlignment="1" applyProtection="1">
      <alignment horizontal="center"/>
    </xf>
    <xf numFmtId="37" fontId="34" fillId="3" borderId="8" xfId="0" applyNumberFormat="1" applyFont="1" applyFill="1" applyBorder="1" applyAlignment="1" applyProtection="1">
      <alignment horizontal="left"/>
    </xf>
    <xf numFmtId="37" fontId="34" fillId="3" borderId="2" xfId="0" applyNumberFormat="1" applyFont="1" applyFill="1" applyBorder="1" applyAlignment="1" applyProtection="1">
      <alignment horizontal="left"/>
    </xf>
    <xf numFmtId="1" fontId="14" fillId="3" borderId="6" xfId="0" applyNumberFormat="1" applyFont="1" applyFill="1" applyBorder="1" applyAlignment="1">
      <alignment horizontal="center"/>
    </xf>
    <xf numFmtId="49" fontId="32" fillId="2" borderId="2" xfId="1" applyNumberFormat="1" applyFont="1" applyFill="1" applyBorder="1" applyAlignment="1">
      <alignment horizontal="right" vertical="center"/>
    </xf>
    <xf numFmtId="49" fontId="32" fillId="2" borderId="9" xfId="1" applyNumberFormat="1" applyFont="1" applyFill="1" applyBorder="1" applyAlignment="1">
      <alignment vertical="center"/>
    </xf>
    <xf numFmtId="1" fontId="32" fillId="2" borderId="2" xfId="0" applyNumberFormat="1" applyFont="1" applyFill="1" applyBorder="1" applyAlignment="1"/>
    <xf numFmtId="1" fontId="32" fillId="2" borderId="6" xfId="0" applyNumberFormat="1" applyFont="1" applyFill="1" applyBorder="1" applyAlignment="1"/>
    <xf numFmtId="37" fontId="14" fillId="3" borderId="0" xfId="0" applyNumberFormat="1" applyFont="1" applyFill="1" applyBorder="1" applyAlignment="1" applyProtection="1">
      <alignment horizontal="center"/>
      <protection locked="0"/>
    </xf>
    <xf numFmtId="9" fontId="14" fillId="3" borderId="4" xfId="0" applyNumberFormat="1" applyFont="1" applyFill="1" applyBorder="1" applyAlignment="1">
      <alignment horizontal="center"/>
    </xf>
    <xf numFmtId="171" fontId="32" fillId="2" borderId="2" xfId="0" applyNumberFormat="1" applyFont="1" applyFill="1" applyBorder="1" applyAlignment="1">
      <alignment horizontal="center"/>
    </xf>
    <xf numFmtId="171" fontId="32" fillId="2" borderId="9" xfId="0" applyNumberFormat="1" applyFont="1" applyFill="1" applyBorder="1" applyAlignment="1">
      <alignment horizontal="center"/>
    </xf>
    <xf numFmtId="169" fontId="14" fillId="3" borderId="0" xfId="0" applyNumberFormat="1" applyFont="1" applyFill="1" applyBorder="1" applyAlignment="1" applyProtection="1">
      <alignment horizontal="center"/>
      <protection locked="0"/>
    </xf>
    <xf numFmtId="3" fontId="32" fillId="2" borderId="2" xfId="1" applyNumberFormat="1" applyFont="1" applyFill="1" applyBorder="1" applyAlignment="1">
      <alignment horizontal="center" vertical="center"/>
    </xf>
    <xf numFmtId="3" fontId="32" fillId="2" borderId="9" xfId="1" applyNumberFormat="1" applyFont="1" applyFill="1" applyBorder="1" applyAlignment="1">
      <alignment horizontal="center" vertical="center"/>
    </xf>
    <xf numFmtId="3" fontId="32" fillId="2" borderId="2" xfId="0" applyNumberFormat="1" applyFont="1" applyFill="1" applyBorder="1" applyAlignment="1">
      <alignment horizontal="center"/>
    </xf>
    <xf numFmtId="3" fontId="32" fillId="2" borderId="9" xfId="0" applyNumberFormat="1" applyFont="1" applyFill="1" applyBorder="1" applyAlignment="1">
      <alignment horizontal="center"/>
    </xf>
    <xf numFmtId="3" fontId="32" fillId="2" borderId="6" xfId="0" applyNumberFormat="1" applyFont="1" applyFill="1" applyBorder="1" applyAlignment="1">
      <alignment horizontal="center"/>
    </xf>
    <xf numFmtId="9" fontId="32" fillId="2" borderId="8" xfId="3" applyFont="1" applyFill="1" applyBorder="1"/>
    <xf numFmtId="3" fontId="3" fillId="2" borderId="9" xfId="1" applyNumberFormat="1" applyFont="1" applyFill="1" applyBorder="1" applyAlignment="1">
      <alignment horizontal="center" vertical="center"/>
    </xf>
    <xf numFmtId="3" fontId="3" fillId="2" borderId="9" xfId="0" applyNumberFormat="1" applyFont="1" applyFill="1" applyBorder="1" applyAlignment="1">
      <alignment horizontal="center"/>
    </xf>
    <xf numFmtId="3" fontId="3" fillId="2" borderId="6" xfId="0" applyNumberFormat="1" applyFont="1" applyFill="1" applyBorder="1" applyAlignment="1">
      <alignment horizontal="center"/>
    </xf>
    <xf numFmtId="37" fontId="13" fillId="4" borderId="3" xfId="0" applyNumberFormat="1" applyFont="1" applyFill="1" applyBorder="1" applyAlignment="1">
      <alignment horizontal="left" vertical="center" wrapText="1"/>
    </xf>
    <xf numFmtId="0" fontId="15" fillId="4" borderId="2" xfId="0" applyFont="1" applyFill="1" applyBorder="1" applyAlignment="1">
      <alignment vertical="center" wrapText="1"/>
    </xf>
    <xf numFmtId="0" fontId="15" fillId="4" borderId="19" xfId="0" applyFont="1" applyFill="1" applyBorder="1" applyAlignment="1">
      <alignment horizontal="right" vertical="center" wrapText="1"/>
    </xf>
    <xf numFmtId="0" fontId="15" fillId="4" borderId="20" xfId="0" applyFont="1" applyFill="1" applyBorder="1" applyAlignment="1">
      <alignment vertical="center" wrapText="1"/>
    </xf>
    <xf numFmtId="0" fontId="15" fillId="4" borderId="9" xfId="0" applyFont="1" applyFill="1" applyBorder="1" applyAlignment="1">
      <alignment horizontal="right" vertical="center" wrapText="1"/>
    </xf>
    <xf numFmtId="0" fontId="15" fillId="4" borderId="6" xfId="0" applyFont="1" applyFill="1" applyBorder="1" applyAlignment="1">
      <alignment vertical="center" wrapText="1"/>
    </xf>
    <xf numFmtId="0" fontId="15" fillId="4" borderId="9" xfId="0" applyFont="1" applyFill="1" applyBorder="1" applyAlignment="1">
      <alignment horizontal="left" vertical="center" wrapText="1"/>
    </xf>
    <xf numFmtId="37" fontId="13" fillId="4" borderId="3" xfId="0" applyNumberFormat="1" applyFont="1" applyFill="1" applyBorder="1" applyAlignment="1">
      <alignment horizontal="left"/>
    </xf>
    <xf numFmtId="0" fontId="3" fillId="4" borderId="3" xfId="0" applyFont="1" applyFill="1" applyBorder="1"/>
    <xf numFmtId="37" fontId="16" fillId="4" borderId="8" xfId="0" applyNumberFormat="1" applyFont="1" applyFill="1" applyBorder="1" applyAlignment="1">
      <alignment horizontal="left"/>
    </xf>
    <xf numFmtId="0" fontId="3" fillId="4" borderId="4" xfId="0" applyFont="1" applyFill="1" applyBorder="1"/>
    <xf numFmtId="0" fontId="14" fillId="4" borderId="4" xfId="0" applyFont="1" applyFill="1" applyBorder="1" applyAlignment="1">
      <alignment horizontal="center"/>
    </xf>
    <xf numFmtId="5" fontId="32" fillId="2" borderId="6" xfId="0" applyNumberFormat="1" applyFont="1" applyFill="1" applyBorder="1" applyAlignment="1" applyProtection="1">
      <alignment horizontal="right"/>
      <protection locked="0"/>
    </xf>
    <xf numFmtId="37" fontId="32" fillId="2" borderId="0" xfId="0" applyNumberFormat="1" applyFont="1" applyFill="1" applyBorder="1" applyAlignment="1" applyProtection="1">
      <alignment horizontal="right"/>
      <protection locked="0"/>
    </xf>
    <xf numFmtId="9" fontId="32" fillId="2" borderId="3" xfId="0" applyNumberFormat="1" applyFont="1" applyFill="1" applyBorder="1" applyAlignment="1">
      <alignment horizontal="center" vertical="center"/>
    </xf>
    <xf numFmtId="9" fontId="32" fillId="2" borderId="0" xfId="0" applyNumberFormat="1" applyFont="1" applyFill="1" applyBorder="1" applyAlignment="1">
      <alignment horizontal="center" vertical="center"/>
    </xf>
    <xf numFmtId="9" fontId="32" fillId="2" borderId="7" xfId="0" applyNumberFormat="1" applyFont="1" applyFill="1" applyBorder="1" applyAlignment="1">
      <alignment horizontal="center" vertical="center"/>
    </xf>
    <xf numFmtId="7" fontId="15" fillId="4" borderId="0" xfId="0" applyNumberFormat="1" applyFont="1" applyFill="1" applyBorder="1"/>
    <xf numFmtId="168" fontId="3" fillId="0" borderId="9" xfId="0" applyNumberFormat="1" applyFont="1" applyFill="1" applyBorder="1"/>
    <xf numFmtId="168" fontId="3" fillId="0" borderId="5" xfId="0" applyNumberFormat="1" applyFont="1" applyFill="1" applyBorder="1"/>
    <xf numFmtId="9" fontId="14" fillId="3" borderId="0" xfId="0" applyNumberFormat="1" applyFont="1" applyFill="1" applyBorder="1" applyAlignment="1">
      <alignment horizontal="center"/>
    </xf>
    <xf numFmtId="9" fontId="32" fillId="2" borderId="3" xfId="3" applyFont="1" applyFill="1" applyBorder="1"/>
    <xf numFmtId="37" fontId="17" fillId="5" borderId="16" xfId="0" applyNumberFormat="1" applyFont="1" applyFill="1" applyBorder="1" applyAlignment="1" applyProtection="1">
      <alignment horizontal="left" vertical="center"/>
    </xf>
    <xf numFmtId="0" fontId="3" fillId="5" borderId="17" xfId="0" applyFont="1" applyFill="1" applyBorder="1" applyAlignment="1">
      <alignment vertical="center"/>
    </xf>
    <xf numFmtId="0" fontId="18" fillId="5" borderId="17" xfId="0" applyFont="1" applyFill="1" applyBorder="1" applyAlignment="1">
      <alignment horizontal="center" vertical="center"/>
    </xf>
    <xf numFmtId="9" fontId="19" fillId="5" borderId="16" xfId="0" applyNumberFormat="1" applyFont="1" applyFill="1" applyBorder="1" applyAlignment="1" applyProtection="1">
      <alignment vertical="center"/>
    </xf>
    <xf numFmtId="170" fontId="17" fillId="5" borderId="18" xfId="0" applyNumberFormat="1" applyFont="1" applyFill="1" applyBorder="1" applyAlignment="1" applyProtection="1">
      <alignment vertical="center"/>
    </xf>
    <xf numFmtId="5" fontId="17" fillId="5" borderId="16" xfId="0" applyNumberFormat="1" applyFont="1" applyFill="1" applyBorder="1" applyAlignment="1" applyProtection="1">
      <alignment vertical="center"/>
    </xf>
    <xf numFmtId="5" fontId="17" fillId="5" borderId="17" xfId="0" applyNumberFormat="1" applyFont="1" applyFill="1" applyBorder="1" applyAlignment="1" applyProtection="1">
      <alignment vertical="center"/>
    </xf>
  </cellXfs>
  <cellStyles count="4">
    <cellStyle name="Comma" xfId="1" builtinId="3"/>
    <cellStyle name="Currency" xfId="2" builtinId="4"/>
    <cellStyle name="Normal" xfId="0" builtinId="0"/>
    <cellStyle name="Percent" xfId="3" builtinId="5"/>
  </cellStyles>
  <dxfs count="0"/>
  <tableStyles count="0" defaultTableStyle="TableStyleMedium9" defaultPivotStyle="PivotStyleMedium4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5050"/>
      <color rgb="FF113C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F77F3E-26F8-455E-AED5-63D930F3A8C1}">
  <sheetPr>
    <pageSetUpPr fitToPage="1"/>
  </sheetPr>
  <dimension ref="A1:AG95"/>
  <sheetViews>
    <sheetView tabSelected="1" zoomScale="55" zoomScaleNormal="55" workbookViewId="0">
      <selection activeCell="X54" sqref="X54"/>
    </sheetView>
  </sheetViews>
  <sheetFormatPr defaultColWidth="10.90625" defaultRowHeight="18"/>
  <cols>
    <col min="1" max="1" width="10.90625" style="6" customWidth="1"/>
    <col min="2" max="2" width="31.36328125" style="6" customWidth="1"/>
    <col min="3" max="3" width="4.08984375" style="6" customWidth="1"/>
    <col min="4" max="4" width="21.7265625" style="6" customWidth="1"/>
    <col min="5" max="5" width="9.6328125" style="6" customWidth="1"/>
    <col min="6" max="6" width="19.6328125" style="6" customWidth="1"/>
    <col min="7" max="7" width="10.26953125" style="6" customWidth="1"/>
    <col min="8" max="8" width="17.453125" style="6" bestFit="1" customWidth="1"/>
    <col min="9" max="9" width="10.453125" style="6" customWidth="1"/>
    <col min="10" max="10" width="18.6328125" style="6" customWidth="1"/>
    <col min="11" max="11" width="10.1796875" style="6" customWidth="1"/>
    <col min="12" max="12" width="20.08984375" style="6" customWidth="1"/>
    <col min="13" max="13" width="10.1796875" style="6" customWidth="1"/>
    <col min="14" max="14" width="17.90625" style="6" customWidth="1"/>
    <col min="15" max="15" width="9.90625" style="6" customWidth="1"/>
    <col min="16" max="16" width="19" style="6" customWidth="1"/>
    <col min="17" max="17" width="10.1796875" style="6" customWidth="1"/>
    <col min="18" max="18" width="16" style="6" bestFit="1" customWidth="1"/>
    <col min="19" max="19" width="9.26953125" style="6" customWidth="1"/>
    <col min="20" max="20" width="17.81640625" style="6" bestFit="1" customWidth="1"/>
    <col min="21" max="21" width="8.453125" style="6" bestFit="1" customWidth="1"/>
    <col min="22" max="23" width="15" style="6" bestFit="1" customWidth="1"/>
    <col min="24" max="24" width="10" style="6" bestFit="1" customWidth="1"/>
    <col min="25" max="25" width="4" style="6" bestFit="1" customWidth="1"/>
    <col min="26" max="26" width="12" style="6" bestFit="1" customWidth="1"/>
    <col min="27" max="28" width="10.90625" style="6" customWidth="1"/>
    <col min="29" max="29" width="10" style="6" customWidth="1"/>
    <col min="30" max="30" width="10.90625" style="6" customWidth="1"/>
    <col min="31" max="31" width="33.90625" style="6" customWidth="1"/>
    <col min="32" max="32" width="20.08984375" style="6" customWidth="1"/>
    <col min="33" max="33" width="14.90625" style="6" customWidth="1"/>
    <col min="34" max="16384" width="10.90625" style="6"/>
  </cols>
  <sheetData>
    <row r="1" spans="1:33">
      <c r="F1" s="7" t="s">
        <v>53</v>
      </c>
      <c r="H1" s="7" t="s">
        <v>54</v>
      </c>
      <c r="J1" s="7" t="s">
        <v>62</v>
      </c>
      <c r="L1" s="7" t="s">
        <v>55</v>
      </c>
      <c r="N1" s="7" t="s">
        <v>56</v>
      </c>
      <c r="P1" s="7" t="s">
        <v>57</v>
      </c>
      <c r="R1" s="7" t="s">
        <v>80</v>
      </c>
      <c r="T1" s="7" t="s">
        <v>95</v>
      </c>
    </row>
    <row r="2" spans="1:33" s="8" customFormat="1">
      <c r="D2" s="9" t="s">
        <v>22</v>
      </c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AE2" s="6"/>
      <c r="AF2" s="6"/>
      <c r="AG2" s="6"/>
    </row>
    <row r="3" spans="1:33" s="8" customFormat="1" ht="36">
      <c r="D3" s="11"/>
      <c r="F3" s="10" t="s">
        <v>114</v>
      </c>
      <c r="H3" s="10" t="s">
        <v>114</v>
      </c>
      <c r="J3" s="10" t="s">
        <v>114</v>
      </c>
      <c r="L3" s="10" t="s">
        <v>114</v>
      </c>
      <c r="N3" s="10" t="s">
        <v>114</v>
      </c>
      <c r="P3" s="10" t="s">
        <v>114</v>
      </c>
      <c r="R3" s="10" t="s">
        <v>114</v>
      </c>
      <c r="T3" s="10" t="s">
        <v>114</v>
      </c>
      <c r="AE3" s="6"/>
      <c r="AF3" s="6"/>
      <c r="AG3" s="6"/>
    </row>
    <row r="4" spans="1:33">
      <c r="D4" s="12" t="s">
        <v>23</v>
      </c>
      <c r="E4" s="13"/>
      <c r="F4" s="14" t="s">
        <v>115</v>
      </c>
      <c r="G4" s="13"/>
      <c r="H4" s="14" t="s">
        <v>115</v>
      </c>
      <c r="I4" s="13"/>
      <c r="J4" s="14" t="s">
        <v>115</v>
      </c>
      <c r="K4" s="13"/>
      <c r="L4" s="14" t="s">
        <v>115</v>
      </c>
      <c r="M4" s="13"/>
      <c r="N4" s="14" t="s">
        <v>115</v>
      </c>
      <c r="O4" s="13"/>
      <c r="P4" s="14" t="s">
        <v>115</v>
      </c>
      <c r="Q4" s="13"/>
      <c r="R4" s="14" t="s">
        <v>115</v>
      </c>
      <c r="S4" s="13"/>
      <c r="T4" s="14" t="s">
        <v>115</v>
      </c>
    </row>
    <row r="5" spans="1:33">
      <c r="D5" s="12" t="s">
        <v>24</v>
      </c>
      <c r="E5" s="13"/>
      <c r="F5" s="15">
        <v>42005</v>
      </c>
      <c r="G5" s="13"/>
      <c r="H5" s="15">
        <v>42005</v>
      </c>
      <c r="I5" s="13"/>
      <c r="J5" s="15">
        <v>42005</v>
      </c>
      <c r="K5" s="13"/>
      <c r="L5" s="15">
        <v>42005</v>
      </c>
      <c r="M5" s="13"/>
      <c r="N5" s="15">
        <v>42005</v>
      </c>
      <c r="O5" s="13"/>
      <c r="P5" s="15">
        <v>42005</v>
      </c>
      <c r="Q5" s="13"/>
      <c r="R5" s="15">
        <v>42005</v>
      </c>
      <c r="S5" s="13"/>
      <c r="T5" s="15">
        <v>42005</v>
      </c>
    </row>
    <row r="6" spans="1:33" s="21" customFormat="1">
      <c r="A6" s="16"/>
      <c r="B6" s="16"/>
      <c r="C6" s="16"/>
      <c r="D6" s="17" t="s">
        <v>41</v>
      </c>
      <c r="E6" s="18"/>
      <c r="F6" s="19">
        <v>100000</v>
      </c>
      <c r="G6" s="20"/>
      <c r="H6" s="19">
        <v>100000</v>
      </c>
      <c r="I6" s="20"/>
      <c r="J6" s="19">
        <v>100000</v>
      </c>
      <c r="K6" s="20"/>
      <c r="L6" s="19">
        <v>100000</v>
      </c>
      <c r="M6" s="20"/>
      <c r="N6" s="19">
        <v>100000</v>
      </c>
      <c r="O6" s="20"/>
      <c r="P6" s="19">
        <v>100000</v>
      </c>
      <c r="Q6" s="20"/>
      <c r="R6" s="19">
        <v>100000</v>
      </c>
      <c r="S6" s="20"/>
      <c r="T6" s="19">
        <v>100000</v>
      </c>
      <c r="AE6" s="6"/>
      <c r="AF6" s="6"/>
      <c r="AG6" s="6"/>
    </row>
    <row r="7" spans="1:33">
      <c r="D7" s="12" t="s">
        <v>25</v>
      </c>
      <c r="E7" s="22"/>
      <c r="F7" s="22">
        <v>8000000</v>
      </c>
      <c r="G7" s="22"/>
      <c r="H7" s="22">
        <v>8000000</v>
      </c>
      <c r="I7" s="22"/>
      <c r="J7" s="22">
        <v>8000000</v>
      </c>
      <c r="K7" s="22"/>
      <c r="L7" s="22">
        <v>8000000</v>
      </c>
      <c r="M7" s="22"/>
      <c r="N7" s="22">
        <v>8000000</v>
      </c>
      <c r="O7" s="22"/>
      <c r="P7" s="22">
        <v>8000000</v>
      </c>
      <c r="Q7" s="22"/>
      <c r="R7" s="22">
        <v>8000000</v>
      </c>
      <c r="S7" s="22"/>
      <c r="T7" s="22">
        <v>8000000</v>
      </c>
    </row>
    <row r="8" spans="1:33">
      <c r="D8" s="12" t="s">
        <v>26</v>
      </c>
      <c r="E8" s="22"/>
      <c r="F8" s="22">
        <v>0</v>
      </c>
      <c r="G8" s="22"/>
      <c r="H8" s="22">
        <v>0</v>
      </c>
      <c r="I8" s="22"/>
      <c r="J8" s="22">
        <v>0</v>
      </c>
      <c r="K8" s="22"/>
      <c r="L8" s="22">
        <v>0</v>
      </c>
      <c r="M8" s="22"/>
      <c r="N8" s="22">
        <v>0</v>
      </c>
      <c r="O8" s="22"/>
      <c r="P8" s="22">
        <v>0</v>
      </c>
      <c r="Q8" s="22"/>
      <c r="R8" s="22">
        <v>0</v>
      </c>
      <c r="S8" s="22"/>
      <c r="T8" s="22">
        <v>0</v>
      </c>
    </row>
    <row r="9" spans="1:33">
      <c r="D9" s="12" t="s">
        <v>27</v>
      </c>
      <c r="E9" s="22"/>
      <c r="F9" s="22">
        <v>0</v>
      </c>
      <c r="G9" s="22"/>
      <c r="H9" s="22">
        <v>0</v>
      </c>
      <c r="I9" s="22"/>
      <c r="J9" s="22">
        <v>0</v>
      </c>
      <c r="K9" s="22"/>
      <c r="L9" s="22">
        <v>0</v>
      </c>
      <c r="M9" s="22"/>
      <c r="N9" s="22">
        <v>0</v>
      </c>
      <c r="O9" s="22"/>
      <c r="P9" s="22">
        <v>0</v>
      </c>
      <c r="Q9" s="22"/>
      <c r="R9" s="22">
        <v>0</v>
      </c>
      <c r="S9" s="22"/>
      <c r="T9" s="22">
        <v>0</v>
      </c>
    </row>
    <row r="10" spans="1:33">
      <c r="D10" s="12" t="s">
        <v>28</v>
      </c>
      <c r="E10" s="22"/>
      <c r="F10" s="22">
        <f>SUM(F7:F9)</f>
        <v>8000000</v>
      </c>
      <c r="G10" s="22"/>
      <c r="H10" s="22">
        <f>H7</f>
        <v>8000000</v>
      </c>
      <c r="I10" s="22"/>
      <c r="J10" s="22">
        <f>SUM(J7:J9)</f>
        <v>8000000</v>
      </c>
      <c r="K10" s="22"/>
      <c r="L10" s="22">
        <f>SUM(L7:L9)</f>
        <v>8000000</v>
      </c>
      <c r="M10" s="22"/>
      <c r="N10" s="22">
        <f>N7</f>
        <v>8000000</v>
      </c>
      <c r="O10" s="22"/>
      <c r="P10" s="22">
        <f>SUM(P7:P9)</f>
        <v>8000000</v>
      </c>
      <c r="Q10" s="22"/>
      <c r="R10" s="22">
        <f>SUM(R7:R9)</f>
        <v>8000000</v>
      </c>
      <c r="S10" s="22"/>
      <c r="T10" s="22">
        <f>SUM(T7:T9)</f>
        <v>8000000</v>
      </c>
    </row>
    <row r="11" spans="1:33">
      <c r="A11" s="23"/>
      <c r="B11" s="23"/>
      <c r="C11" s="23"/>
      <c r="D11" s="24" t="s">
        <v>29</v>
      </c>
      <c r="E11" s="25"/>
      <c r="F11" s="25">
        <f>F7/F6</f>
        <v>80</v>
      </c>
      <c r="G11" s="25"/>
      <c r="H11" s="25">
        <f>H7/H6</f>
        <v>80</v>
      </c>
      <c r="I11" s="25"/>
      <c r="J11" s="25">
        <f>J7/J6</f>
        <v>80</v>
      </c>
      <c r="K11" s="25"/>
      <c r="L11" s="25">
        <f>L7/L6</f>
        <v>80</v>
      </c>
      <c r="M11" s="25"/>
      <c r="N11" s="25">
        <f>N7/N6</f>
        <v>80</v>
      </c>
      <c r="O11" s="25"/>
      <c r="P11" s="25">
        <f>P7/P6</f>
        <v>80</v>
      </c>
      <c r="Q11" s="25"/>
      <c r="R11" s="25">
        <f>R7/R6</f>
        <v>80</v>
      </c>
      <c r="S11" s="25"/>
      <c r="T11" s="25">
        <f>T7/T6</f>
        <v>80</v>
      </c>
    </row>
    <row r="12" spans="1:33">
      <c r="A12" s="23"/>
      <c r="B12" s="23"/>
      <c r="C12" s="23"/>
      <c r="D12" s="26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</row>
    <row r="14" spans="1:33" ht="13.2" customHeight="1">
      <c r="B14" s="247" t="s">
        <v>97</v>
      </c>
      <c r="C14" s="248"/>
      <c r="D14" s="248"/>
      <c r="E14" s="248"/>
      <c r="F14" s="248"/>
      <c r="G14" s="248"/>
      <c r="H14" s="248"/>
      <c r="I14" s="248"/>
      <c r="J14" s="248"/>
      <c r="K14" s="248"/>
      <c r="L14" s="248"/>
      <c r="M14" s="248"/>
      <c r="N14" s="248"/>
      <c r="O14" s="248"/>
      <c r="P14" s="248"/>
      <c r="Q14" s="248"/>
      <c r="R14" s="248"/>
      <c r="S14" s="248"/>
      <c r="T14" s="249"/>
      <c r="Y14" s="27"/>
    </row>
    <row r="15" spans="1:33" ht="15" customHeight="1" thickBot="1">
      <c r="B15" s="250"/>
      <c r="C15" s="251"/>
      <c r="D15" s="251"/>
      <c r="E15" s="252"/>
      <c r="F15" s="252"/>
      <c r="G15" s="252"/>
      <c r="H15" s="252"/>
      <c r="I15" s="252"/>
      <c r="J15" s="252"/>
      <c r="K15" s="252"/>
      <c r="L15" s="252"/>
      <c r="M15" s="252"/>
      <c r="N15" s="252"/>
      <c r="O15" s="252"/>
      <c r="P15" s="252"/>
      <c r="Q15" s="252"/>
      <c r="R15" s="252"/>
      <c r="S15" s="252"/>
      <c r="T15" s="253"/>
    </row>
    <row r="16" spans="1:33" ht="23.8" customHeight="1">
      <c r="B16" s="254" t="s">
        <v>0</v>
      </c>
      <c r="C16" s="255"/>
      <c r="D16" s="256" t="s">
        <v>1</v>
      </c>
      <c r="E16" s="257"/>
      <c r="F16" s="258" t="str">
        <f>+F1</f>
        <v>Sale 1</v>
      </c>
      <c r="G16" s="257"/>
      <c r="H16" s="259" t="str">
        <f>+H1</f>
        <v>Sale 2</v>
      </c>
      <c r="I16" s="257"/>
      <c r="J16" s="259" t="str">
        <f>+J1</f>
        <v>Sale 3</v>
      </c>
      <c r="K16" s="260"/>
      <c r="L16" s="258" t="str">
        <f>+L1</f>
        <v>Sale 4</v>
      </c>
      <c r="M16" s="257"/>
      <c r="N16" s="258" t="str">
        <f>+N1</f>
        <v>Sale 5</v>
      </c>
      <c r="O16" s="257"/>
      <c r="P16" s="258" t="str">
        <f>+P1</f>
        <v>Sale 6</v>
      </c>
      <c r="Q16" s="257"/>
      <c r="R16" s="259" t="str">
        <f>R1</f>
        <v>Sale 7</v>
      </c>
      <c r="S16" s="260"/>
      <c r="T16" s="259" t="str">
        <f>+T1</f>
        <v>Sale 8</v>
      </c>
    </row>
    <row r="17" spans="2:33" s="8" customFormat="1" ht="41.15" customHeight="1">
      <c r="B17" s="261" t="s">
        <v>2</v>
      </c>
      <c r="C17" s="262"/>
      <c r="D17" s="263"/>
      <c r="E17" s="264"/>
      <c r="F17" s="265"/>
      <c r="G17" s="264"/>
      <c r="H17" s="266"/>
      <c r="I17" s="264"/>
      <c r="J17" s="266"/>
      <c r="K17" s="262"/>
      <c r="L17" s="265"/>
      <c r="M17" s="264"/>
      <c r="N17" s="265"/>
      <c r="O17" s="264"/>
      <c r="P17" s="265"/>
      <c r="Q17" s="264"/>
      <c r="R17" s="266"/>
      <c r="S17" s="262"/>
      <c r="T17" s="266"/>
      <c r="AE17" s="6"/>
      <c r="AF17" s="6"/>
      <c r="AG17" s="6"/>
    </row>
    <row r="18" spans="2:33" s="8" customFormat="1" ht="45.45" customHeight="1">
      <c r="B18" s="267" t="s">
        <v>99</v>
      </c>
      <c r="C18" s="268"/>
      <c r="D18" s="269"/>
      <c r="E18" s="270" t="str">
        <f>IF(F3=0,"  ",F3)</f>
        <v>Example Comp</v>
      </c>
      <c r="F18" s="271"/>
      <c r="G18" s="270" t="str">
        <f>IF(H3=0,"  ",H3)</f>
        <v>Example Comp</v>
      </c>
      <c r="H18" s="271"/>
      <c r="I18" s="270" t="str">
        <f>IF(J3=0,"  ",J3)</f>
        <v>Example Comp</v>
      </c>
      <c r="J18" s="271"/>
      <c r="K18" s="272" t="str">
        <f>IF(L3=0,"  ",L3)</f>
        <v>Example Comp</v>
      </c>
      <c r="L18" s="272"/>
      <c r="M18" s="270" t="str">
        <f>IF(N3=0,"  ",N3)</f>
        <v>Example Comp</v>
      </c>
      <c r="N18" s="271"/>
      <c r="O18" s="270" t="str">
        <f>IF(P3=0,"  ",P3)</f>
        <v>Example Comp</v>
      </c>
      <c r="P18" s="272"/>
      <c r="Q18" s="270" t="str">
        <f>IF(R3=0,"  ",R3)</f>
        <v>Example Comp</v>
      </c>
      <c r="R18" s="271"/>
      <c r="S18" s="272" t="str">
        <f>IF(T3=0,"  ",T3)</f>
        <v>Example Comp</v>
      </c>
      <c r="T18" s="271"/>
      <c r="AE18" s="6"/>
      <c r="AF18" s="6"/>
      <c r="AG18" s="6"/>
    </row>
    <row r="19" spans="2:33" ht="23.8" customHeight="1">
      <c r="B19" s="273"/>
      <c r="C19" s="255"/>
      <c r="D19" s="274" t="s">
        <v>65</v>
      </c>
      <c r="E19" s="273"/>
      <c r="F19" s="275" t="str">
        <f>+F4</f>
        <v>Somewhere</v>
      </c>
      <c r="G19" s="276"/>
      <c r="H19" s="277" t="str">
        <f>+H4</f>
        <v>Somewhere</v>
      </c>
      <c r="I19" s="276"/>
      <c r="J19" s="277" t="str">
        <f>+J4</f>
        <v>Somewhere</v>
      </c>
      <c r="K19" s="278"/>
      <c r="L19" s="275" t="str">
        <f>+L4</f>
        <v>Somewhere</v>
      </c>
      <c r="M19" s="276"/>
      <c r="N19" s="275" t="str">
        <f>+N4</f>
        <v>Somewhere</v>
      </c>
      <c r="O19" s="276"/>
      <c r="P19" s="275" t="str">
        <f>+P4</f>
        <v>Somewhere</v>
      </c>
      <c r="Q19" s="276"/>
      <c r="R19" s="277" t="str">
        <f>+R4</f>
        <v>Somewhere</v>
      </c>
      <c r="S19" s="278"/>
      <c r="T19" s="277" t="str">
        <f>+T4</f>
        <v>Somewhere</v>
      </c>
    </row>
    <row r="20" spans="2:33" ht="23.8" customHeight="1">
      <c r="B20" s="279"/>
      <c r="C20" s="280"/>
      <c r="D20" s="281"/>
      <c r="E20" s="273"/>
      <c r="F20" s="255"/>
      <c r="G20" s="273"/>
      <c r="H20" s="282"/>
      <c r="I20" s="283"/>
      <c r="J20" s="284"/>
      <c r="K20" s="255"/>
      <c r="L20" s="255"/>
      <c r="M20" s="273"/>
      <c r="N20" s="255"/>
      <c r="O20" s="273"/>
      <c r="P20" s="255"/>
      <c r="Q20" s="283"/>
      <c r="R20" s="284"/>
      <c r="S20" s="280"/>
      <c r="T20" s="284"/>
    </row>
    <row r="21" spans="2:33" ht="23.8" customHeight="1">
      <c r="B21" s="285" t="s">
        <v>3</v>
      </c>
      <c r="C21" s="255"/>
      <c r="D21" s="286" t="s">
        <v>4</v>
      </c>
      <c r="E21" s="287">
        <f>+F7</f>
        <v>8000000</v>
      </c>
      <c r="F21" s="288"/>
      <c r="G21" s="287">
        <f>+H7</f>
        <v>8000000</v>
      </c>
      <c r="H21" s="288"/>
      <c r="I21" s="287">
        <v>9990000</v>
      </c>
      <c r="J21" s="288"/>
      <c r="K21" s="287">
        <f>+L7</f>
        <v>8000000</v>
      </c>
      <c r="L21" s="288"/>
      <c r="M21" s="287">
        <f>+N7</f>
        <v>8000000</v>
      </c>
      <c r="N21" s="288"/>
      <c r="O21" s="287">
        <f>+P7</f>
        <v>8000000</v>
      </c>
      <c r="P21" s="288"/>
      <c r="Q21" s="287">
        <f>+R7</f>
        <v>8000000</v>
      </c>
      <c r="R21" s="288"/>
      <c r="S21" s="367">
        <f>+T7</f>
        <v>8000000</v>
      </c>
      <c r="T21" s="288"/>
    </row>
    <row r="22" spans="2:33" ht="23.8" customHeight="1">
      <c r="B22" s="289" t="s">
        <v>47</v>
      </c>
      <c r="C22" s="255"/>
      <c r="D22" s="290">
        <v>137562</v>
      </c>
      <c r="E22" s="291">
        <f>F6</f>
        <v>100000</v>
      </c>
      <c r="F22" s="292"/>
      <c r="G22" s="291">
        <f>H6</f>
        <v>100000</v>
      </c>
      <c r="H22" s="292"/>
      <c r="I22" s="291">
        <f>J6</f>
        <v>100000</v>
      </c>
      <c r="J22" s="292"/>
      <c r="K22" s="291">
        <f>L6</f>
        <v>100000</v>
      </c>
      <c r="L22" s="292"/>
      <c r="M22" s="291">
        <f>N6</f>
        <v>100000</v>
      </c>
      <c r="N22" s="292"/>
      <c r="O22" s="291">
        <f>P6</f>
        <v>100000</v>
      </c>
      <c r="P22" s="292"/>
      <c r="Q22" s="291">
        <f>R6</f>
        <v>100000</v>
      </c>
      <c r="R22" s="292"/>
      <c r="S22" s="368">
        <f>T6</f>
        <v>100000</v>
      </c>
      <c r="T22" s="292"/>
    </row>
    <row r="23" spans="2:33" ht="23.8" customHeight="1">
      <c r="B23" s="293" t="s">
        <v>44</v>
      </c>
      <c r="C23" s="280"/>
      <c r="D23" s="294" t="s">
        <v>13</v>
      </c>
      <c r="E23" s="279"/>
      <c r="F23" s="295">
        <f>ROUND(E21/(F6),2)</f>
        <v>80</v>
      </c>
      <c r="G23" s="296"/>
      <c r="H23" s="297">
        <f>ROUND(G21/(H6),2)</f>
        <v>80</v>
      </c>
      <c r="I23" s="296"/>
      <c r="J23" s="297">
        <f>ROUND(I21/(J6),2)</f>
        <v>99.9</v>
      </c>
      <c r="K23" s="298"/>
      <c r="L23" s="295">
        <f>ROUND(K21/(L6),2)</f>
        <v>80</v>
      </c>
      <c r="M23" s="296"/>
      <c r="N23" s="297">
        <f>ROUND(M21/(N6),2)</f>
        <v>80</v>
      </c>
      <c r="O23" s="296"/>
      <c r="P23" s="297">
        <f>ROUND(O21/(P6),2)</f>
        <v>80</v>
      </c>
      <c r="Q23" s="296"/>
      <c r="R23" s="297">
        <f>ROUND(Q21/(R6),2)</f>
        <v>80</v>
      </c>
      <c r="S23" s="296"/>
      <c r="T23" s="297">
        <f>ROUND(S21/(T6),2)</f>
        <v>80</v>
      </c>
      <c r="V23" s="23"/>
    </row>
    <row r="24" spans="2:33" ht="23.8" customHeight="1">
      <c r="B24" s="285" t="s">
        <v>103</v>
      </c>
      <c r="C24" s="255"/>
      <c r="D24" s="299" t="s">
        <v>52</v>
      </c>
      <c r="E24" s="300" t="s">
        <v>52</v>
      </c>
      <c r="F24" s="301"/>
      <c r="G24" s="300" t="s">
        <v>52</v>
      </c>
      <c r="H24" s="301"/>
      <c r="I24" s="300" t="s">
        <v>52</v>
      </c>
      <c r="J24" s="301"/>
      <c r="K24" s="300" t="s">
        <v>52</v>
      </c>
      <c r="L24" s="301"/>
      <c r="M24" s="300" t="s">
        <v>52</v>
      </c>
      <c r="N24" s="301"/>
      <c r="O24" s="300" t="s">
        <v>52</v>
      </c>
      <c r="P24" s="301"/>
      <c r="Q24" s="300" t="s">
        <v>52</v>
      </c>
      <c r="R24" s="301"/>
      <c r="S24" s="300" t="s">
        <v>52</v>
      </c>
      <c r="T24" s="301"/>
      <c r="V24" s="23"/>
    </row>
    <row r="25" spans="2:33" ht="23.8" customHeight="1">
      <c r="B25" s="289" t="s">
        <v>5</v>
      </c>
      <c r="C25" s="255"/>
      <c r="D25" s="299" t="s">
        <v>63</v>
      </c>
      <c r="E25" s="302">
        <v>0</v>
      </c>
      <c r="F25" s="303">
        <f>ROUND(1/(1-E25)*F23,2)-F23</f>
        <v>0</v>
      </c>
      <c r="G25" s="302">
        <v>0</v>
      </c>
      <c r="H25" s="304">
        <f>ROUND(1/(1-G25)*H23,2)-H23</f>
        <v>0</v>
      </c>
      <c r="I25" s="302">
        <v>0</v>
      </c>
      <c r="J25" s="304">
        <f>J23*I25</f>
        <v>0</v>
      </c>
      <c r="K25" s="305">
        <v>0</v>
      </c>
      <c r="L25" s="303">
        <f>K25*L23</f>
        <v>0</v>
      </c>
      <c r="M25" s="302">
        <v>0</v>
      </c>
      <c r="N25" s="304">
        <f>ROUND(1/(1-M25)*N23,2)-N23</f>
        <v>0</v>
      </c>
      <c r="O25" s="302">
        <v>0</v>
      </c>
      <c r="P25" s="304">
        <f>ROUND(1/(1-O25)*P23,2)-P23</f>
        <v>0</v>
      </c>
      <c r="Q25" s="302">
        <v>0</v>
      </c>
      <c r="R25" s="304">
        <f>Q25*R23</f>
        <v>0</v>
      </c>
      <c r="S25" s="302">
        <v>0</v>
      </c>
      <c r="T25" s="304">
        <f>T23*S25</f>
        <v>0</v>
      </c>
      <c r="X25" s="23"/>
    </row>
    <row r="26" spans="2:33" ht="23.8" customHeight="1">
      <c r="B26" s="293" t="s">
        <v>43</v>
      </c>
      <c r="C26" s="280"/>
      <c r="D26" s="281"/>
      <c r="E26" s="279"/>
      <c r="F26" s="295">
        <f>+F23+F25</f>
        <v>80</v>
      </c>
      <c r="G26" s="296"/>
      <c r="H26" s="297">
        <f>+H23+H25</f>
        <v>80</v>
      </c>
      <c r="I26" s="296"/>
      <c r="J26" s="297">
        <f>+J23+J25</f>
        <v>99.9</v>
      </c>
      <c r="K26" s="298"/>
      <c r="L26" s="295">
        <f>+L23+L25</f>
        <v>80</v>
      </c>
      <c r="M26" s="296"/>
      <c r="N26" s="297">
        <f>+N23+N25</f>
        <v>80</v>
      </c>
      <c r="O26" s="296"/>
      <c r="P26" s="297">
        <f>+P23+P25</f>
        <v>80</v>
      </c>
      <c r="Q26" s="296"/>
      <c r="R26" s="297">
        <f>+R23+R25</f>
        <v>80</v>
      </c>
      <c r="S26" s="296"/>
      <c r="T26" s="297">
        <f>+T23+T25</f>
        <v>80</v>
      </c>
      <c r="V26" s="23"/>
    </row>
    <row r="27" spans="2:33" ht="23.8" customHeight="1">
      <c r="B27" s="285" t="s">
        <v>6</v>
      </c>
      <c r="C27" s="255"/>
      <c r="D27" s="299"/>
      <c r="E27" s="306" t="s">
        <v>36</v>
      </c>
      <c r="F27" s="307"/>
      <c r="G27" s="306" t="s">
        <v>36</v>
      </c>
      <c r="H27" s="307"/>
      <c r="I27" s="306" t="s">
        <v>36</v>
      </c>
      <c r="J27" s="307"/>
      <c r="K27" s="308" t="s">
        <v>36</v>
      </c>
      <c r="L27" s="308"/>
      <c r="M27" s="306" t="s">
        <v>36</v>
      </c>
      <c r="N27" s="307"/>
      <c r="O27" s="306" t="s">
        <v>36</v>
      </c>
      <c r="P27" s="307"/>
      <c r="Q27" s="306" t="s">
        <v>36</v>
      </c>
      <c r="R27" s="307"/>
      <c r="S27" s="306" t="s">
        <v>36</v>
      </c>
      <c r="T27" s="307"/>
      <c r="V27" s="23"/>
    </row>
    <row r="28" spans="2:33" ht="23.8" customHeight="1">
      <c r="B28" s="289" t="s">
        <v>5</v>
      </c>
      <c r="C28" s="255"/>
      <c r="D28" s="309" t="s">
        <v>36</v>
      </c>
      <c r="E28" s="302">
        <f>F28/F26</f>
        <v>0</v>
      </c>
      <c r="F28" s="310">
        <v>0</v>
      </c>
      <c r="G28" s="302">
        <f>H28/H26</f>
        <v>0</v>
      </c>
      <c r="H28" s="311">
        <v>0</v>
      </c>
      <c r="I28" s="302">
        <f>J28/J26</f>
        <v>0</v>
      </c>
      <c r="J28" s="311">
        <v>0</v>
      </c>
      <c r="K28" s="305">
        <f>L28/L26</f>
        <v>0</v>
      </c>
      <c r="L28" s="310">
        <v>0</v>
      </c>
      <c r="M28" s="302">
        <v>0</v>
      </c>
      <c r="N28" s="311">
        <f>M28*N26</f>
        <v>0</v>
      </c>
      <c r="O28" s="302">
        <f>P28/P26</f>
        <v>0</v>
      </c>
      <c r="P28" s="311">
        <v>0</v>
      </c>
      <c r="Q28" s="302">
        <f>R28/R26</f>
        <v>0</v>
      </c>
      <c r="R28" s="311">
        <v>0</v>
      </c>
      <c r="S28" s="302">
        <f>T28/T26</f>
        <v>0</v>
      </c>
      <c r="T28" s="311">
        <v>0</v>
      </c>
      <c r="X28" s="23"/>
    </row>
    <row r="29" spans="2:33" ht="23.8" customHeight="1">
      <c r="B29" s="293" t="s">
        <v>43</v>
      </c>
      <c r="C29" s="280"/>
      <c r="D29" s="281"/>
      <c r="E29" s="279"/>
      <c r="F29" s="295">
        <f>+F26+F28</f>
        <v>80</v>
      </c>
      <c r="G29" s="296"/>
      <c r="H29" s="297">
        <f>+H26+H28</f>
        <v>80</v>
      </c>
      <c r="I29" s="296"/>
      <c r="J29" s="297">
        <f>+J26+J28</f>
        <v>99.9</v>
      </c>
      <c r="K29" s="298"/>
      <c r="L29" s="295">
        <f>+L26+L28</f>
        <v>80</v>
      </c>
      <c r="M29" s="296"/>
      <c r="N29" s="297">
        <f>+N26+N28</f>
        <v>80</v>
      </c>
      <c r="O29" s="296"/>
      <c r="P29" s="297">
        <f>+P26+P28</f>
        <v>80</v>
      </c>
      <c r="Q29" s="296"/>
      <c r="R29" s="297">
        <f>+R26+R28</f>
        <v>80</v>
      </c>
      <c r="S29" s="296"/>
      <c r="T29" s="297">
        <f>+T26+T28</f>
        <v>80</v>
      </c>
    </row>
    <row r="30" spans="2:33" ht="23.8" customHeight="1">
      <c r="B30" s="312" t="s">
        <v>7</v>
      </c>
      <c r="C30" s="313"/>
      <c r="D30" s="314"/>
      <c r="E30" s="315" t="s">
        <v>33</v>
      </c>
      <c r="F30" s="316"/>
      <c r="G30" s="315" t="s">
        <v>33</v>
      </c>
      <c r="H30" s="316"/>
      <c r="I30" s="315" t="s">
        <v>33</v>
      </c>
      <c r="J30" s="316"/>
      <c r="K30" s="317" t="s">
        <v>33</v>
      </c>
      <c r="L30" s="317"/>
      <c r="M30" s="315" t="s">
        <v>33</v>
      </c>
      <c r="N30" s="316"/>
      <c r="O30" s="315" t="s">
        <v>33</v>
      </c>
      <c r="P30" s="316"/>
      <c r="Q30" s="315" t="s">
        <v>33</v>
      </c>
      <c r="R30" s="316"/>
      <c r="S30" s="315" t="s">
        <v>33</v>
      </c>
      <c r="T30" s="316"/>
    </row>
    <row r="31" spans="2:33" ht="23.8" customHeight="1">
      <c r="B31" s="289" t="s">
        <v>5</v>
      </c>
      <c r="C31" s="255"/>
      <c r="D31" s="299" t="s">
        <v>11</v>
      </c>
      <c r="E31" s="302">
        <f>F31/F29</f>
        <v>0</v>
      </c>
      <c r="F31" s="311">
        <f>(+F8+F9)/(F6)</f>
        <v>0</v>
      </c>
      <c r="G31" s="302">
        <v>0</v>
      </c>
      <c r="H31" s="311">
        <f>-H8/H6</f>
        <v>0</v>
      </c>
      <c r="I31" s="302">
        <v>0</v>
      </c>
      <c r="J31" s="311">
        <f>I31*J29</f>
        <v>0</v>
      </c>
      <c r="K31" s="305">
        <v>0</v>
      </c>
      <c r="L31" s="310">
        <f>K31*L29</f>
        <v>0</v>
      </c>
      <c r="M31" s="302">
        <f>-N31/N29</f>
        <v>0</v>
      </c>
      <c r="N31" s="311">
        <f>N9/N6</f>
        <v>0</v>
      </c>
      <c r="O31" s="302">
        <v>0</v>
      </c>
      <c r="P31" s="311">
        <f>O31*P29</f>
        <v>0</v>
      </c>
      <c r="Q31" s="302">
        <v>0</v>
      </c>
      <c r="R31" s="311">
        <f>Q31*R29</f>
        <v>0</v>
      </c>
      <c r="S31" s="302">
        <v>0</v>
      </c>
      <c r="T31" s="311">
        <f>S31*T29</f>
        <v>0</v>
      </c>
    </row>
    <row r="32" spans="2:33" ht="23.8" customHeight="1">
      <c r="B32" s="293" t="s">
        <v>43</v>
      </c>
      <c r="C32" s="280"/>
      <c r="D32" s="281"/>
      <c r="E32" s="318">
        <v>0</v>
      </c>
      <c r="F32" s="295">
        <f>+F29+F31</f>
        <v>80</v>
      </c>
      <c r="G32" s="319"/>
      <c r="H32" s="297">
        <f>+H29+H31</f>
        <v>80</v>
      </c>
      <c r="I32" s="319"/>
      <c r="J32" s="297">
        <f>+J29+J31</f>
        <v>99.9</v>
      </c>
      <c r="K32" s="320"/>
      <c r="L32" s="295">
        <f>+L29+L31</f>
        <v>80</v>
      </c>
      <c r="M32" s="319"/>
      <c r="N32" s="297">
        <f>N29+N31</f>
        <v>80</v>
      </c>
      <c r="O32" s="319"/>
      <c r="P32" s="297">
        <f>+P29+P31</f>
        <v>80</v>
      </c>
      <c r="Q32" s="319"/>
      <c r="R32" s="297">
        <f>+R29+R31</f>
        <v>80</v>
      </c>
      <c r="S32" s="319"/>
      <c r="T32" s="297">
        <f>+T29+T31</f>
        <v>80</v>
      </c>
    </row>
    <row r="33" spans="2:31" ht="23.8" customHeight="1">
      <c r="B33" s="312" t="s">
        <v>8</v>
      </c>
      <c r="C33" s="313"/>
      <c r="D33" s="321"/>
      <c r="E33" s="322">
        <v>0.03</v>
      </c>
      <c r="F33" s="323">
        <f>+F5</f>
        <v>42005</v>
      </c>
      <c r="G33" s="322">
        <f>E33</f>
        <v>0.03</v>
      </c>
      <c r="H33" s="324">
        <f>+H5</f>
        <v>42005</v>
      </c>
      <c r="I33" s="322">
        <f>E33</f>
        <v>0.03</v>
      </c>
      <c r="J33" s="324">
        <f>+J5</f>
        <v>42005</v>
      </c>
      <c r="K33" s="325">
        <f>G33</f>
        <v>0.03</v>
      </c>
      <c r="L33" s="323">
        <f>+L5</f>
        <v>42005</v>
      </c>
      <c r="M33" s="322">
        <f>K33</f>
        <v>0.03</v>
      </c>
      <c r="N33" s="324">
        <f>+N5</f>
        <v>42005</v>
      </c>
      <c r="O33" s="325">
        <f>M33</f>
        <v>0.03</v>
      </c>
      <c r="P33" s="323">
        <f>+P5</f>
        <v>42005</v>
      </c>
      <c r="Q33" s="322">
        <f>K33</f>
        <v>0.03</v>
      </c>
      <c r="R33" s="324">
        <f>+R5</f>
        <v>42005</v>
      </c>
      <c r="S33" s="325">
        <f>M33</f>
        <v>0.03</v>
      </c>
      <c r="T33" s="324">
        <f>+T5</f>
        <v>42005</v>
      </c>
    </row>
    <row r="34" spans="2:31" ht="23.8" customHeight="1">
      <c r="B34" s="289" t="s">
        <v>5</v>
      </c>
      <c r="C34" s="255"/>
      <c r="D34" s="326">
        <v>42005</v>
      </c>
      <c r="E34" s="327">
        <f>($D$34-F5)/365.333*E33</f>
        <v>0</v>
      </c>
      <c r="F34" s="304">
        <f>F32*E34</f>
        <v>0</v>
      </c>
      <c r="G34" s="39">
        <f>($D$34-H5)/365.3333*G33</f>
        <v>0</v>
      </c>
      <c r="H34" s="304">
        <f>H32*G34</f>
        <v>0</v>
      </c>
      <c r="I34" s="39">
        <f>($D$34-J5)/365.3333*I33</f>
        <v>0</v>
      </c>
      <c r="J34" s="304">
        <f>J32*I34</f>
        <v>0</v>
      </c>
      <c r="K34" s="39">
        <f>($D$34-L5)/365.3333*K33</f>
        <v>0</v>
      </c>
      <c r="L34" s="304">
        <f>L32*K34</f>
        <v>0</v>
      </c>
      <c r="M34" s="39">
        <f>($D$34-N5)/365.3333*M33</f>
        <v>0</v>
      </c>
      <c r="N34" s="304">
        <f>N32*M34</f>
        <v>0</v>
      </c>
      <c r="O34" s="39">
        <f>($D$34-P5)/365.3333*O33</f>
        <v>0</v>
      </c>
      <c r="P34" s="304">
        <f>P32*O34</f>
        <v>0</v>
      </c>
      <c r="Q34" s="39">
        <f>($D$34-R5)/365.3333*Q33</f>
        <v>0</v>
      </c>
      <c r="R34" s="304">
        <f>R32*Q34</f>
        <v>0</v>
      </c>
      <c r="S34" s="39">
        <f>($D$34-T5)/365.3333*S33</f>
        <v>0</v>
      </c>
      <c r="T34" s="304">
        <f>T32*S34</f>
        <v>0</v>
      </c>
      <c r="V34" s="23"/>
    </row>
    <row r="35" spans="2:31" ht="23.8" customHeight="1">
      <c r="B35" s="293" t="s">
        <v>43</v>
      </c>
      <c r="C35" s="280"/>
      <c r="D35" s="328"/>
      <c r="E35" s="318"/>
      <c r="F35" s="297">
        <f>F34+F32</f>
        <v>80</v>
      </c>
      <c r="G35" s="319"/>
      <c r="H35" s="297">
        <f>H32+H34</f>
        <v>80</v>
      </c>
      <c r="I35" s="319"/>
      <c r="J35" s="297">
        <f>J32+J34</f>
        <v>99.9</v>
      </c>
      <c r="K35" s="320"/>
      <c r="L35" s="295">
        <f>L32+L34</f>
        <v>80</v>
      </c>
      <c r="M35" s="319"/>
      <c r="N35" s="295">
        <f>N32+N34</f>
        <v>80</v>
      </c>
      <c r="O35" s="319"/>
      <c r="P35" s="295">
        <f>P32+P34</f>
        <v>80</v>
      </c>
      <c r="Q35" s="319"/>
      <c r="R35" s="297">
        <f>R32+R34</f>
        <v>80</v>
      </c>
      <c r="S35" s="320"/>
      <c r="T35" s="297">
        <f>T32+T34</f>
        <v>80</v>
      </c>
      <c r="V35" s="23"/>
      <c r="X35" s="28"/>
      <c r="Z35" s="30"/>
    </row>
    <row r="36" spans="2:31" ht="23.8" customHeight="1">
      <c r="B36" s="220" t="s">
        <v>96</v>
      </c>
      <c r="C36" s="221"/>
      <c r="D36" s="221"/>
      <c r="E36" s="221"/>
      <c r="F36" s="221"/>
      <c r="G36" s="221"/>
      <c r="H36" s="221"/>
      <c r="I36" s="221"/>
      <c r="J36" s="221"/>
      <c r="K36" s="221"/>
      <c r="L36" s="221"/>
      <c r="M36" s="221"/>
      <c r="N36" s="221"/>
      <c r="O36" s="221"/>
      <c r="P36" s="221"/>
      <c r="Q36" s="221"/>
      <c r="R36" s="221"/>
      <c r="S36" s="221"/>
      <c r="T36" s="222"/>
      <c r="V36" s="23"/>
    </row>
    <row r="37" spans="2:31" ht="23.8" customHeight="1">
      <c r="B37" s="355"/>
      <c r="C37" s="35"/>
      <c r="D37" s="35"/>
      <c r="E37" s="356"/>
      <c r="F37" s="357"/>
      <c r="G37" s="358"/>
      <c r="H37" s="357"/>
      <c r="I37" s="356"/>
      <c r="J37" s="359"/>
      <c r="K37" s="360"/>
      <c r="L37" s="357"/>
      <c r="M37" s="358"/>
      <c r="N37" s="357"/>
      <c r="O37" s="358"/>
      <c r="P37" s="361"/>
      <c r="Q37" s="356"/>
      <c r="R37" s="359"/>
      <c r="S37" s="360"/>
      <c r="T37" s="359"/>
    </row>
    <row r="38" spans="2:31" ht="23.8" customHeight="1">
      <c r="B38" s="362" t="s">
        <v>2</v>
      </c>
      <c r="C38" s="35"/>
      <c r="D38" s="35" t="str">
        <f>D19</f>
        <v>Plymouth</v>
      </c>
      <c r="E38" s="363"/>
      <c r="F38" s="331" t="str">
        <f>F4</f>
        <v>Somewhere</v>
      </c>
      <c r="G38" s="36"/>
      <c r="H38" s="331" t="str">
        <f>H4</f>
        <v>Somewhere</v>
      </c>
      <c r="I38" s="363"/>
      <c r="J38" s="331" t="str">
        <f>J4</f>
        <v>Somewhere</v>
      </c>
      <c r="K38" s="36"/>
      <c r="L38" s="331" t="str">
        <f>L4</f>
        <v>Somewhere</v>
      </c>
      <c r="M38" s="36"/>
      <c r="N38" s="331" t="str">
        <f>N4</f>
        <v>Somewhere</v>
      </c>
      <c r="O38" s="36"/>
      <c r="P38" s="331" t="str">
        <f>P4</f>
        <v>Somewhere</v>
      </c>
      <c r="Q38" s="363"/>
      <c r="R38" s="331" t="str">
        <f>R4</f>
        <v>Somewhere</v>
      </c>
      <c r="S38" s="36"/>
      <c r="T38" s="331" t="str">
        <f>T4</f>
        <v>Somewhere</v>
      </c>
    </row>
    <row r="39" spans="2:31" ht="23.8" customHeight="1">
      <c r="B39" s="364" t="s">
        <v>5</v>
      </c>
      <c r="C39" s="365"/>
      <c r="D39" s="366"/>
      <c r="E39" s="351">
        <v>0</v>
      </c>
      <c r="F39" s="297">
        <v>0</v>
      </c>
      <c r="G39" s="351">
        <v>0</v>
      </c>
      <c r="H39" s="297">
        <v>0</v>
      </c>
      <c r="I39" s="351">
        <v>0</v>
      </c>
      <c r="J39" s="297">
        <v>0</v>
      </c>
      <c r="K39" s="351">
        <v>0</v>
      </c>
      <c r="L39" s="297">
        <v>0</v>
      </c>
      <c r="M39" s="351">
        <v>0</v>
      </c>
      <c r="N39" s="297">
        <v>0</v>
      </c>
      <c r="O39" s="351">
        <v>0</v>
      </c>
      <c r="P39" s="297">
        <v>0</v>
      </c>
      <c r="Q39" s="351">
        <v>0</v>
      </c>
      <c r="R39" s="297">
        <v>0</v>
      </c>
      <c r="S39" s="351">
        <v>0</v>
      </c>
      <c r="T39" s="297">
        <v>0</v>
      </c>
    </row>
    <row r="40" spans="2:31" s="8" customFormat="1" ht="23.8" customHeight="1">
      <c r="B40" s="289"/>
      <c r="C40" s="255"/>
      <c r="D40" s="299" t="s">
        <v>64</v>
      </c>
      <c r="E40" s="369" t="s">
        <v>64</v>
      </c>
      <c r="F40" s="370"/>
      <c r="G40" s="369" t="s">
        <v>64</v>
      </c>
      <c r="H40" s="370"/>
      <c r="I40" s="369" t="s">
        <v>64</v>
      </c>
      <c r="J40" s="371"/>
      <c r="K40" s="370" t="s">
        <v>64</v>
      </c>
      <c r="L40" s="370"/>
      <c r="M40" s="369" t="s">
        <v>64</v>
      </c>
      <c r="N40" s="370"/>
      <c r="O40" s="369" t="s">
        <v>64</v>
      </c>
      <c r="P40" s="370"/>
      <c r="Q40" s="369" t="s">
        <v>64</v>
      </c>
      <c r="R40" s="371"/>
      <c r="S40" s="370" t="s">
        <v>64</v>
      </c>
      <c r="T40" s="371"/>
      <c r="V40" s="6"/>
    </row>
    <row r="41" spans="2:31" ht="23.8" customHeight="1">
      <c r="B41" s="285" t="s">
        <v>51</v>
      </c>
      <c r="C41" s="255"/>
      <c r="D41" s="329"/>
      <c r="E41" s="330"/>
      <c r="F41" s="331" t="str">
        <f>IF(F42&gt;0,"Inferior",IF(F42=0,"Similar","Superior"))</f>
        <v>Similar</v>
      </c>
      <c r="G41" s="330"/>
      <c r="H41" s="331" t="str">
        <f>IF(H42&gt;0,"Inferior",IF(H42=0,"Similar","Superior"))</f>
        <v>Similar</v>
      </c>
      <c r="I41" s="330"/>
      <c r="J41" s="331" t="str">
        <f>IF(J42&gt;0,"Inferior",IF(J42=0,"Similar","Superior"))</f>
        <v>Similar</v>
      </c>
      <c r="K41" s="332"/>
      <c r="L41" s="333" t="str">
        <f>IF(L42&gt;0,"Inferior",IF(L42=0,"Similar","Superior"))</f>
        <v>Similar</v>
      </c>
      <c r="M41" s="330"/>
      <c r="N41" s="333" t="str">
        <f>IF(N42&gt;0,"Inferior",IF(N42=0,"Similar","Superior"))</f>
        <v>Similar</v>
      </c>
      <c r="O41" s="330"/>
      <c r="P41" s="333" t="str">
        <f>IF(P42&gt;0,"Inferior",IF(P42=0,"Similar","Superior"))</f>
        <v>Similar</v>
      </c>
      <c r="Q41" s="330"/>
      <c r="R41" s="331" t="str">
        <f>IF(R42&gt;0,"Inferior",IF(R42=0,"Similar","Superior"))</f>
        <v>Similar</v>
      </c>
      <c r="S41" s="332"/>
      <c r="T41" s="331" t="str">
        <f>IF(T42&gt;0,"Inferior",IF(T42=0,"Similar","Superior"))</f>
        <v>Similar</v>
      </c>
      <c r="V41" s="23"/>
    </row>
    <row r="42" spans="2:31" ht="23.8" customHeight="1">
      <c r="B42" s="334" t="s">
        <v>5</v>
      </c>
      <c r="C42" s="280"/>
      <c r="D42" s="281"/>
      <c r="E42" s="351">
        <v>0</v>
      </c>
      <c r="F42" s="297">
        <v>0</v>
      </c>
      <c r="G42" s="351">
        <v>0</v>
      </c>
      <c r="H42" s="297">
        <v>0</v>
      </c>
      <c r="I42" s="351">
        <v>0</v>
      </c>
      <c r="J42" s="297">
        <v>0</v>
      </c>
      <c r="K42" s="351">
        <v>0</v>
      </c>
      <c r="L42" s="297">
        <v>0</v>
      </c>
      <c r="M42" s="351">
        <v>0</v>
      </c>
      <c r="N42" s="297">
        <v>0</v>
      </c>
      <c r="O42" s="351">
        <v>0</v>
      </c>
      <c r="P42" s="297">
        <v>0</v>
      </c>
      <c r="Q42" s="351">
        <v>0</v>
      </c>
      <c r="R42" s="297">
        <v>0</v>
      </c>
      <c r="S42" s="351">
        <v>0</v>
      </c>
      <c r="T42" s="297">
        <v>0</v>
      </c>
      <c r="V42" s="23"/>
      <c r="W42" s="29"/>
    </row>
    <row r="43" spans="2:31" ht="23.8" customHeight="1">
      <c r="B43" s="335"/>
      <c r="C43" s="313"/>
      <c r="D43" s="336" t="s">
        <v>113</v>
      </c>
      <c r="E43" s="337" t="s">
        <v>68</v>
      </c>
      <c r="F43" s="338" t="s">
        <v>61</v>
      </c>
      <c r="G43" s="339">
        <v>46</v>
      </c>
      <c r="H43" s="338" t="s">
        <v>61</v>
      </c>
      <c r="I43" s="339">
        <v>10</v>
      </c>
      <c r="J43" s="338" t="s">
        <v>61</v>
      </c>
      <c r="K43" s="340">
        <v>14</v>
      </c>
      <c r="L43" s="338" t="s">
        <v>61</v>
      </c>
      <c r="M43" s="339">
        <v>20</v>
      </c>
      <c r="N43" s="338" t="s">
        <v>61</v>
      </c>
      <c r="O43" s="339">
        <v>42</v>
      </c>
      <c r="P43" s="338" t="s">
        <v>61</v>
      </c>
      <c r="Q43" s="339">
        <v>3</v>
      </c>
      <c r="R43" s="338" t="s">
        <v>61</v>
      </c>
      <c r="S43" s="340">
        <v>6</v>
      </c>
      <c r="T43" s="338" t="s">
        <v>61</v>
      </c>
      <c r="V43" s="31"/>
      <c r="W43" s="61"/>
      <c r="X43" s="31"/>
      <c r="Z43" s="32"/>
    </row>
    <row r="44" spans="2:31" ht="23.8" customHeight="1">
      <c r="B44" s="285" t="s">
        <v>48</v>
      </c>
      <c r="C44" s="255"/>
      <c r="D44" s="341"/>
      <c r="E44" s="330"/>
      <c r="F44" s="331" t="str">
        <f>IF(F45&gt;0,"Inferior",IF(F45=0,"Similar","Superior"))</f>
        <v>Similar</v>
      </c>
      <c r="G44" s="330"/>
      <c r="H44" s="331" t="str">
        <f>IF(H45&gt;0,"Inferior",IF(H45=0,"Similar","Superior"))</f>
        <v>Similar</v>
      </c>
      <c r="I44" s="330"/>
      <c r="J44" s="331" t="str">
        <f>IF(J45&gt;0,"Inferior",IF(J45=0,"Similar","Superior"))</f>
        <v>Similar</v>
      </c>
      <c r="K44" s="332"/>
      <c r="L44" s="333" t="str">
        <f>IF(L45&gt;0,"Inferior",IF(L45=0,"Similar","Superior"))</f>
        <v>Similar</v>
      </c>
      <c r="M44" s="330"/>
      <c r="N44" s="333" t="str">
        <f>IF(N45&gt;0,"Inferior",IF(N45=0,"Similar","Superior"))</f>
        <v>Similar</v>
      </c>
      <c r="O44" s="330"/>
      <c r="P44" s="333" t="str">
        <f>IF(P45&gt;0,"Inferior",IF(P45=0,"Similar","Superior"))</f>
        <v>Similar</v>
      </c>
      <c r="Q44" s="330"/>
      <c r="R44" s="331" t="str">
        <f>IF(R45&gt;0,"Inferior",IF(R45=0,"Similar","Superior"))</f>
        <v>Similar</v>
      </c>
      <c r="S44" s="332"/>
      <c r="T44" s="331" t="str">
        <f>IF(T45&gt;0,"Inferior",IF(T45=0,"Similar","Superior"))</f>
        <v>Similar</v>
      </c>
      <c r="W44" s="23"/>
    </row>
    <row r="45" spans="2:31" ht="23.8" customHeight="1">
      <c r="B45" s="334" t="s">
        <v>5</v>
      </c>
      <c r="C45" s="280"/>
      <c r="D45" s="342"/>
      <c r="E45" s="351">
        <v>0</v>
      </c>
      <c r="F45" s="297">
        <v>0</v>
      </c>
      <c r="G45" s="351">
        <v>0</v>
      </c>
      <c r="H45" s="297">
        <v>0</v>
      </c>
      <c r="I45" s="351">
        <v>0</v>
      </c>
      <c r="J45" s="297">
        <v>0</v>
      </c>
      <c r="K45" s="351">
        <v>0</v>
      </c>
      <c r="L45" s="297">
        <v>0</v>
      </c>
      <c r="M45" s="351">
        <v>0</v>
      </c>
      <c r="N45" s="297">
        <v>0</v>
      </c>
      <c r="O45" s="351">
        <v>0</v>
      </c>
      <c r="P45" s="297">
        <v>0</v>
      </c>
      <c r="Q45" s="351">
        <v>0</v>
      </c>
      <c r="R45" s="297">
        <v>0</v>
      </c>
      <c r="S45" s="351">
        <v>0</v>
      </c>
      <c r="T45" s="297">
        <v>0</v>
      </c>
    </row>
    <row r="46" spans="2:31" ht="23.8" customHeight="1">
      <c r="B46" s="312"/>
      <c r="C46" s="313"/>
      <c r="D46" s="314"/>
      <c r="E46" s="343" t="s">
        <v>88</v>
      </c>
      <c r="F46" s="344"/>
      <c r="G46" s="343" t="s">
        <v>88</v>
      </c>
      <c r="H46" s="344"/>
      <c r="I46" s="343" t="s">
        <v>88</v>
      </c>
      <c r="J46" s="344"/>
      <c r="K46" s="343" t="s">
        <v>88</v>
      </c>
      <c r="L46" s="344"/>
      <c r="M46" s="343" t="s">
        <v>88</v>
      </c>
      <c r="N46" s="344"/>
      <c r="O46" s="343" t="s">
        <v>88</v>
      </c>
      <c r="P46" s="344"/>
      <c r="Q46" s="343" t="s">
        <v>88</v>
      </c>
      <c r="R46" s="344"/>
      <c r="S46" s="343" t="s">
        <v>88</v>
      </c>
      <c r="T46" s="344"/>
      <c r="X46" s="31"/>
      <c r="Z46" s="32"/>
    </row>
    <row r="47" spans="2:31" ht="23.8" customHeight="1">
      <c r="B47" s="285" t="s">
        <v>85</v>
      </c>
      <c r="C47" s="255"/>
      <c r="D47" s="345" t="s">
        <v>88</v>
      </c>
      <c r="E47" s="330"/>
      <c r="F47" s="331" t="str">
        <f>IF(F48&gt;0,"Inferior",IF(F48=0,"Similar","Superior"))</f>
        <v>Similar</v>
      </c>
      <c r="G47" s="332"/>
      <c r="H47" s="331" t="str">
        <f>IF(H48&gt;0,"Inferior",IF(H48=0,"Similar","Superior"))</f>
        <v>Similar</v>
      </c>
      <c r="I47" s="330"/>
      <c r="J47" s="331" t="str">
        <f>IF(J48&gt;0,"Inferior",IF(J48=0,"Similar","Superior"))</f>
        <v>Similar</v>
      </c>
      <c r="K47" s="332"/>
      <c r="L47" s="333" t="str">
        <f>IF(L48&gt;0,"Inferior",IF(L48=0,"Similar","Superior"))</f>
        <v>Similar</v>
      </c>
      <c r="M47" s="330"/>
      <c r="N47" s="333" t="str">
        <f>IF(N48&gt;0,"Inferior",IF(N48=0,"Similar","Superior"))</f>
        <v>Similar</v>
      </c>
      <c r="O47" s="330"/>
      <c r="P47" s="333" t="str">
        <f>IF(P48&gt;0,"Inferior",IF(P48=0,"Similar","Superior"))</f>
        <v>Similar</v>
      </c>
      <c r="Q47" s="330"/>
      <c r="R47" s="331" t="str">
        <f>IF(R48&gt;0,"Inferior",IF(R48=0,"Similar","Superior"))</f>
        <v>Similar</v>
      </c>
      <c r="S47" s="332"/>
      <c r="T47" s="331" t="str">
        <f>IF(T48&gt;0,"Inferior",IF(T48=0,"Similar","Superior"))</f>
        <v>Similar</v>
      </c>
    </row>
    <row r="48" spans="2:31" ht="23.8" customHeight="1">
      <c r="B48" s="334" t="s">
        <v>5</v>
      </c>
      <c r="C48" s="280"/>
      <c r="D48" s="342"/>
      <c r="E48" s="351">
        <v>0</v>
      </c>
      <c r="F48" s="297">
        <v>0</v>
      </c>
      <c r="G48" s="351">
        <v>0</v>
      </c>
      <c r="H48" s="297">
        <v>0</v>
      </c>
      <c r="I48" s="351">
        <v>0</v>
      </c>
      <c r="J48" s="297">
        <v>0</v>
      </c>
      <c r="K48" s="351">
        <v>0</v>
      </c>
      <c r="L48" s="297">
        <v>0</v>
      </c>
      <c r="M48" s="351">
        <v>0</v>
      </c>
      <c r="N48" s="297">
        <v>0</v>
      </c>
      <c r="O48" s="351">
        <v>0</v>
      </c>
      <c r="P48" s="297">
        <v>0</v>
      </c>
      <c r="Q48" s="351">
        <v>0</v>
      </c>
      <c r="R48" s="297">
        <v>0</v>
      </c>
      <c r="S48" s="351">
        <v>0</v>
      </c>
      <c r="T48" s="297">
        <v>0</v>
      </c>
      <c r="AD48" s="30"/>
      <c r="AE48" s="30"/>
    </row>
    <row r="49" spans="2:33" ht="23.8" customHeight="1">
      <c r="B49" s="335"/>
      <c r="C49" s="313"/>
      <c r="D49" s="314"/>
      <c r="E49" s="346">
        <f>F6</f>
        <v>100000</v>
      </c>
      <c r="F49" s="347"/>
      <c r="G49" s="348">
        <f>H6</f>
        <v>100000</v>
      </c>
      <c r="H49" s="349"/>
      <c r="I49" s="348">
        <f>J6</f>
        <v>100000</v>
      </c>
      <c r="J49" s="349"/>
      <c r="K49" s="350">
        <f>L6</f>
        <v>100000</v>
      </c>
      <c r="L49" s="350"/>
      <c r="M49" s="348">
        <f>N6</f>
        <v>100000</v>
      </c>
      <c r="N49" s="349"/>
      <c r="O49" s="348">
        <f>P6</f>
        <v>100000</v>
      </c>
      <c r="P49" s="350"/>
      <c r="Q49" s="348">
        <f>R6</f>
        <v>100000</v>
      </c>
      <c r="R49" s="349"/>
      <c r="S49" s="350">
        <f>T6</f>
        <v>100000</v>
      </c>
      <c r="T49" s="349"/>
      <c r="W49" s="31"/>
    </row>
    <row r="50" spans="2:33" ht="23.8" customHeight="1">
      <c r="B50" s="285" t="s">
        <v>49</v>
      </c>
      <c r="C50" s="255"/>
      <c r="D50" s="341">
        <f>D22</f>
        <v>137562</v>
      </c>
      <c r="E50" s="330"/>
      <c r="F50" s="331" t="str">
        <f>IF(F51&gt;0,"Inferior",IF(F51=0,"Similar","Superior"))</f>
        <v>Similar</v>
      </c>
      <c r="G50" s="330"/>
      <c r="H50" s="331" t="str">
        <f>IF(H51&gt;0,"Inferior",IF(H51=0,"Similar","Superior"))</f>
        <v>Similar</v>
      </c>
      <c r="I50" s="330"/>
      <c r="J50" s="331" t="str">
        <f>IF(J51&gt;0,"Inferior",IF(J51=0,"Similar","Superior"))</f>
        <v>Similar</v>
      </c>
      <c r="K50" s="332"/>
      <c r="L50" s="333" t="str">
        <f>IF(L51&gt;0,"Inferior",IF(L51=0,"Similar","Superior"))</f>
        <v>Similar</v>
      </c>
      <c r="M50" s="330"/>
      <c r="N50" s="333" t="str">
        <f>IF(N51&gt;0,"Inferior",IF(N51=0,"Similar","Superior"))</f>
        <v>Similar</v>
      </c>
      <c r="O50" s="330"/>
      <c r="P50" s="333" t="str">
        <f>IF(P51&gt;0,"Inferior",IF(P51=0,"Similar","Superior"))</f>
        <v>Similar</v>
      </c>
      <c r="Q50" s="330"/>
      <c r="R50" s="331" t="str">
        <f>IF(R51&gt;0,"Inferior",IF(R51=0,"Similar","Superior"))</f>
        <v>Similar</v>
      </c>
      <c r="S50" s="332"/>
      <c r="T50" s="331" t="str">
        <f>IF(T51&gt;0,"Inferior",IF(T51=0,"Similar","Superior"))</f>
        <v>Similar</v>
      </c>
    </row>
    <row r="51" spans="2:33" ht="23.8" customHeight="1">
      <c r="B51" s="334" t="s">
        <v>5</v>
      </c>
      <c r="C51" s="280"/>
      <c r="D51" s="342"/>
      <c r="E51" s="351">
        <v>0</v>
      </c>
      <c r="F51" s="297">
        <v>0</v>
      </c>
      <c r="G51" s="351">
        <v>0</v>
      </c>
      <c r="H51" s="297">
        <v>0</v>
      </c>
      <c r="I51" s="351">
        <v>0</v>
      </c>
      <c r="J51" s="297">
        <v>0</v>
      </c>
      <c r="K51" s="351">
        <v>0</v>
      </c>
      <c r="L51" s="297">
        <v>0</v>
      </c>
      <c r="M51" s="351">
        <v>0</v>
      </c>
      <c r="N51" s="297">
        <v>0</v>
      </c>
      <c r="O51" s="351">
        <v>0</v>
      </c>
      <c r="P51" s="297">
        <v>0</v>
      </c>
      <c r="Q51" s="351">
        <v>0</v>
      </c>
      <c r="R51" s="297">
        <v>0</v>
      </c>
      <c r="S51" s="351">
        <v>0</v>
      </c>
      <c r="T51" s="297">
        <v>0</v>
      </c>
      <c r="V51" s="33"/>
    </row>
    <row r="52" spans="2:33" ht="23.8" customHeight="1">
      <c r="B52" s="335"/>
      <c r="C52" s="313"/>
      <c r="D52" s="314" t="s">
        <v>40</v>
      </c>
      <c r="E52" s="346">
        <v>18900</v>
      </c>
      <c r="F52" s="352"/>
      <c r="G52" s="348">
        <v>88000</v>
      </c>
      <c r="H52" s="353"/>
      <c r="I52" s="348">
        <v>9500</v>
      </c>
      <c r="J52" s="353"/>
      <c r="K52" s="350">
        <v>47500</v>
      </c>
      <c r="L52" s="354"/>
      <c r="M52" s="348">
        <v>24100</v>
      </c>
      <c r="N52" s="349"/>
      <c r="O52" s="348">
        <v>2500</v>
      </c>
      <c r="P52" s="354"/>
      <c r="Q52" s="348">
        <v>11200</v>
      </c>
      <c r="R52" s="353"/>
      <c r="S52" s="350">
        <v>6800</v>
      </c>
      <c r="T52" s="353"/>
    </row>
    <row r="53" spans="2:33" ht="23.8" customHeight="1">
      <c r="B53" s="285" t="s">
        <v>94</v>
      </c>
      <c r="C53" s="255"/>
      <c r="D53" s="341">
        <v>35000</v>
      </c>
      <c r="E53" s="330"/>
      <c r="F53" s="331" t="str">
        <f>IF(F54&gt;0,"Inferior",IF(F54=0,"Similar","Superior"))</f>
        <v>Similar</v>
      </c>
      <c r="G53" s="330"/>
      <c r="H53" s="331" t="str">
        <f>IF(H54&gt;0,"Inferior",IF(H54=0,"Similar","Superior"))</f>
        <v>Similar</v>
      </c>
      <c r="I53" s="330"/>
      <c r="J53" s="331" t="str">
        <f>IF(J54&gt;0,"Inferior",IF(J54=0,"Similar","Superior"))</f>
        <v>Similar</v>
      </c>
      <c r="K53" s="332"/>
      <c r="L53" s="333" t="str">
        <f>IF(L54&gt;0,"Inferior",IF(L54=0,"Similar","Superior"))</f>
        <v>Similar</v>
      </c>
      <c r="M53" s="330"/>
      <c r="N53" s="333" t="str">
        <f>IF(N54&gt;0,"Inferior",IF(N54=0,"Similar","Superior"))</f>
        <v>Similar</v>
      </c>
      <c r="O53" s="330"/>
      <c r="P53" s="333" t="str">
        <f>IF(P54&gt;0,"Inferior",IF(P54=0,"Similar","Superior"))</f>
        <v>Similar</v>
      </c>
      <c r="Q53" s="330"/>
      <c r="R53" s="331" t="str">
        <f>IF(R54&gt;0,"Inferior",IF(R54=0,"Similar","Superior"))</f>
        <v>Similar</v>
      </c>
      <c r="S53" s="332"/>
      <c r="T53" s="331" t="str">
        <f>IF(T54&gt;0,"Inferior",IF(T54=0,"Similar","Superior"))</f>
        <v>Similar</v>
      </c>
    </row>
    <row r="54" spans="2:33" ht="23.8" customHeight="1">
      <c r="B54" s="334" t="s">
        <v>5</v>
      </c>
      <c r="C54" s="280"/>
      <c r="D54" s="342"/>
      <c r="E54" s="351">
        <v>0</v>
      </c>
      <c r="F54" s="297">
        <v>0</v>
      </c>
      <c r="G54" s="351">
        <v>0</v>
      </c>
      <c r="H54" s="297">
        <v>0</v>
      </c>
      <c r="I54" s="351">
        <v>0</v>
      </c>
      <c r="J54" s="297">
        <v>0</v>
      </c>
      <c r="K54" s="351">
        <v>0</v>
      </c>
      <c r="L54" s="297">
        <v>0</v>
      </c>
      <c r="M54" s="351">
        <v>0</v>
      </c>
      <c r="N54" s="297">
        <v>0</v>
      </c>
      <c r="O54" s="351">
        <v>0</v>
      </c>
      <c r="P54" s="297">
        <v>0</v>
      </c>
      <c r="Q54" s="351">
        <v>0</v>
      </c>
      <c r="R54" s="297">
        <v>0</v>
      </c>
      <c r="S54" s="351">
        <v>0</v>
      </c>
      <c r="T54" s="297">
        <v>0</v>
      </c>
      <c r="X54" s="34"/>
      <c r="Y54" s="34"/>
    </row>
    <row r="55" spans="2:33" ht="23.8" customHeight="1">
      <c r="B55" s="335"/>
      <c r="C55" s="313"/>
      <c r="D55" s="314"/>
      <c r="E55" s="346">
        <f>F12</f>
        <v>0</v>
      </c>
      <c r="F55" s="347"/>
      <c r="G55" s="348">
        <f>H12</f>
        <v>0</v>
      </c>
      <c r="H55" s="349"/>
      <c r="I55" s="348">
        <f>J12</f>
        <v>0</v>
      </c>
      <c r="J55" s="349"/>
      <c r="K55" s="350">
        <f>L12</f>
        <v>0</v>
      </c>
      <c r="L55" s="350"/>
      <c r="M55" s="348">
        <f>N12</f>
        <v>0</v>
      </c>
      <c r="N55" s="349"/>
      <c r="O55" s="348">
        <f>P12</f>
        <v>0</v>
      </c>
      <c r="P55" s="350"/>
      <c r="Q55" s="348">
        <f>R12</f>
        <v>0</v>
      </c>
      <c r="R55" s="349"/>
      <c r="S55" s="350">
        <f>T12</f>
        <v>0</v>
      </c>
      <c r="T55" s="349"/>
      <c r="W55" s="31"/>
    </row>
    <row r="56" spans="2:33" ht="23.8" customHeight="1">
      <c r="B56" s="285"/>
      <c r="C56" s="255"/>
      <c r="D56" s="341"/>
      <c r="E56" s="330"/>
      <c r="F56" s="331" t="str">
        <f>IF(F57&gt;0,"Inferior",IF(F57=0,"Similar","Superior"))</f>
        <v>Similar</v>
      </c>
      <c r="G56" s="330"/>
      <c r="H56" s="331" t="str">
        <f>IF(H57&gt;0,"Inferior",IF(H57=0,"Similar","Superior"))</f>
        <v>Similar</v>
      </c>
      <c r="I56" s="330"/>
      <c r="J56" s="331" t="str">
        <f>IF(J57&gt;0,"Inferior",IF(J57=0,"Similar","Superior"))</f>
        <v>Similar</v>
      </c>
      <c r="K56" s="332"/>
      <c r="L56" s="333" t="str">
        <f>IF(L57&gt;0,"Inferior",IF(L57=0,"Similar","Superior"))</f>
        <v>Similar</v>
      </c>
      <c r="M56" s="330"/>
      <c r="N56" s="333" t="str">
        <f>IF(N57&gt;0,"Inferior",IF(N57=0,"Similar","Superior"))</f>
        <v>Similar</v>
      </c>
      <c r="O56" s="330"/>
      <c r="P56" s="333" t="str">
        <f>IF(P57&gt;0,"Inferior",IF(P57=0,"Similar","Superior"))</f>
        <v>Similar</v>
      </c>
      <c r="Q56" s="330"/>
      <c r="R56" s="331" t="str">
        <f>IF(R57&gt;0,"Inferior",IF(R57=0,"Similar","Superior"))</f>
        <v>Similar</v>
      </c>
      <c r="S56" s="332"/>
      <c r="T56" s="331" t="str">
        <f>IF(T57&gt;0,"Inferior",IF(T57=0,"Similar","Superior"))</f>
        <v>Similar</v>
      </c>
    </row>
    <row r="57" spans="2:33" ht="23.8" customHeight="1">
      <c r="B57" s="334" t="s">
        <v>5</v>
      </c>
      <c r="C57" s="280"/>
      <c r="D57" s="342"/>
      <c r="E57" s="351">
        <v>0</v>
      </c>
      <c r="F57" s="297">
        <v>0</v>
      </c>
      <c r="G57" s="351">
        <v>0</v>
      </c>
      <c r="H57" s="297">
        <v>0</v>
      </c>
      <c r="I57" s="351">
        <v>0</v>
      </c>
      <c r="J57" s="297">
        <v>0</v>
      </c>
      <c r="K57" s="351">
        <v>0</v>
      </c>
      <c r="L57" s="297">
        <v>0</v>
      </c>
      <c r="M57" s="351">
        <v>0</v>
      </c>
      <c r="N57" s="297">
        <v>0</v>
      </c>
      <c r="O57" s="351">
        <v>0</v>
      </c>
      <c r="P57" s="297">
        <v>0</v>
      </c>
      <c r="Q57" s="351">
        <v>0</v>
      </c>
      <c r="R57" s="297">
        <v>0</v>
      </c>
      <c r="S57" s="351">
        <v>0</v>
      </c>
      <c r="T57" s="297">
        <v>0</v>
      </c>
      <c r="V57" s="33"/>
    </row>
    <row r="58" spans="2:33" ht="23.8" customHeight="1">
      <c r="B58" s="335"/>
      <c r="C58" s="313"/>
      <c r="D58" s="314"/>
      <c r="E58" s="346">
        <f>F15</f>
        <v>0</v>
      </c>
      <c r="F58" s="347"/>
      <c r="G58" s="348">
        <f>H15</f>
        <v>0</v>
      </c>
      <c r="H58" s="349"/>
      <c r="I58" s="348">
        <f>J15</f>
        <v>0</v>
      </c>
      <c r="J58" s="349"/>
      <c r="K58" s="350">
        <f>L15</f>
        <v>0</v>
      </c>
      <c r="L58" s="350"/>
      <c r="M58" s="348">
        <f>N15</f>
        <v>0</v>
      </c>
      <c r="N58" s="349"/>
      <c r="O58" s="348">
        <f>P15</f>
        <v>0</v>
      </c>
      <c r="P58" s="350"/>
      <c r="Q58" s="348">
        <f>R15</f>
        <v>0</v>
      </c>
      <c r="R58" s="349"/>
      <c r="S58" s="350">
        <f>T15</f>
        <v>0</v>
      </c>
      <c r="T58" s="349"/>
      <c r="W58" s="31"/>
    </row>
    <row r="59" spans="2:33" ht="23.8" customHeight="1">
      <c r="B59" s="285"/>
      <c r="C59" s="255"/>
      <c r="D59" s="341"/>
      <c r="E59" s="330"/>
      <c r="F59" s="331" t="str">
        <f>IF(F60&gt;0,"Inferior",IF(F60=0,"Similar","Superior"))</f>
        <v>Similar</v>
      </c>
      <c r="G59" s="330"/>
      <c r="H59" s="331" t="str">
        <f>IF(H60&gt;0,"Inferior",IF(H60=0,"Similar","Superior"))</f>
        <v>Similar</v>
      </c>
      <c r="I59" s="330"/>
      <c r="J59" s="331" t="str">
        <f>IF(J60&gt;0,"Inferior",IF(J60=0,"Similar","Superior"))</f>
        <v>Similar</v>
      </c>
      <c r="K59" s="332"/>
      <c r="L59" s="333" t="str">
        <f>IF(L60&gt;0,"Inferior",IF(L60=0,"Similar","Superior"))</f>
        <v>Similar</v>
      </c>
      <c r="M59" s="330"/>
      <c r="N59" s="333" t="str">
        <f>IF(N60&gt;0,"Inferior",IF(N60=0,"Similar","Superior"))</f>
        <v>Similar</v>
      </c>
      <c r="O59" s="330"/>
      <c r="P59" s="333" t="str">
        <f>IF(P60&gt;0,"Inferior",IF(P60=0,"Similar","Superior"))</f>
        <v>Similar</v>
      </c>
      <c r="Q59" s="330"/>
      <c r="R59" s="331" t="str">
        <f>IF(R60&gt;0,"Inferior",IF(R60=0,"Similar","Superior"))</f>
        <v>Similar</v>
      </c>
      <c r="S59" s="332"/>
      <c r="T59" s="331" t="str">
        <f>IF(T60&gt;0,"Inferior",IF(T60=0,"Similar","Superior"))</f>
        <v>Similar</v>
      </c>
    </row>
    <row r="60" spans="2:33" ht="23.8" customHeight="1">
      <c r="B60" s="289" t="s">
        <v>5</v>
      </c>
      <c r="C60" s="255"/>
      <c r="D60" s="375"/>
      <c r="E60" s="376">
        <v>0</v>
      </c>
      <c r="F60" s="304">
        <v>0</v>
      </c>
      <c r="G60" s="376">
        <v>0</v>
      </c>
      <c r="H60" s="304">
        <v>0</v>
      </c>
      <c r="I60" s="376">
        <v>0</v>
      </c>
      <c r="J60" s="304">
        <v>0</v>
      </c>
      <c r="K60" s="376">
        <v>0</v>
      </c>
      <c r="L60" s="304">
        <v>0</v>
      </c>
      <c r="M60" s="376">
        <v>0</v>
      </c>
      <c r="N60" s="304">
        <v>0</v>
      </c>
      <c r="O60" s="376">
        <v>0</v>
      </c>
      <c r="P60" s="304">
        <v>0</v>
      </c>
      <c r="Q60" s="376">
        <v>0</v>
      </c>
      <c r="R60" s="304">
        <v>0</v>
      </c>
      <c r="S60" s="376">
        <v>0</v>
      </c>
      <c r="T60" s="304">
        <v>0</v>
      </c>
      <c r="V60" s="33"/>
    </row>
    <row r="61" spans="2:33" s="34" customFormat="1" ht="26.15" customHeight="1">
      <c r="B61" s="377" t="s">
        <v>42</v>
      </c>
      <c r="C61" s="378"/>
      <c r="D61" s="379"/>
      <c r="E61" s="380"/>
      <c r="F61" s="381">
        <f>F35+F42+F45+F48+F54+F51+F57+F60</f>
        <v>80</v>
      </c>
      <c r="G61" s="382"/>
      <c r="H61" s="381">
        <f>H35+H42+H45+H48+H54+H51+H57+H60</f>
        <v>80</v>
      </c>
      <c r="I61" s="382"/>
      <c r="J61" s="381">
        <f>J35+J42+J45+J48+J54+J51+J57+J60</f>
        <v>99.9</v>
      </c>
      <c r="K61" s="383"/>
      <c r="L61" s="381">
        <f>L35+L42+L45+L48+L54+L51+L57+L60</f>
        <v>80</v>
      </c>
      <c r="M61" s="382"/>
      <c r="N61" s="381">
        <f>N35+N42+N45+N48+N54+N51+N57+N60</f>
        <v>80</v>
      </c>
      <c r="O61" s="382"/>
      <c r="P61" s="381">
        <f>P35+P42+P45+P48+P54+P51+P57+P60</f>
        <v>80</v>
      </c>
      <c r="Q61" s="382"/>
      <c r="R61" s="381">
        <f>R35+R42+R45+R48+R54+R51+R57+R60</f>
        <v>80</v>
      </c>
      <c r="S61" s="383"/>
      <c r="T61" s="381">
        <f>T35+T42+T45+T48+T54+T51+T57+T60</f>
        <v>80</v>
      </c>
      <c r="V61" s="28"/>
      <c r="X61" s="6"/>
      <c r="Y61" s="6"/>
      <c r="AE61" s="6"/>
      <c r="AF61" s="6"/>
      <c r="AG61" s="6"/>
    </row>
    <row r="62" spans="2:33" s="120" customFormat="1" ht="26.15" customHeight="1">
      <c r="B62" s="121"/>
      <c r="C62" s="45"/>
      <c r="D62" s="122"/>
      <c r="E62" s="125" t="s">
        <v>19</v>
      </c>
      <c r="F62" s="126">
        <f>(F$25+F$28+F$31+F$34+F$42+F$45+F54+F51+F48+F57+F60)/F$23</f>
        <v>0</v>
      </c>
      <c r="G62" s="126"/>
      <c r="H62" s="126">
        <f>(H$25+H$28+H$31+H$34+H$42+H$45+H54+H51+H48+H57+H60)/H$23</f>
        <v>0</v>
      </c>
      <c r="I62" s="126"/>
      <c r="J62" s="126">
        <f>(J$25+J$28+J$31+J$34+J$42+J$45+J54+J51+J48+J57+J60)/J$23</f>
        <v>0</v>
      </c>
      <c r="K62" s="126"/>
      <c r="L62" s="126">
        <f>(L$25+L$28+L$31+L$34+L$42+L$45+L54+L51+L48+L57+L60)/L$23</f>
        <v>0</v>
      </c>
      <c r="M62" s="126"/>
      <c r="N62" s="126">
        <f>(N$25+N$28+N$31+N$34+N$42+N$45+N54+N51+N48+N57+N60)/N$23</f>
        <v>0</v>
      </c>
      <c r="O62" s="126"/>
      <c r="P62" s="126">
        <f>(P$25+P$28+P$31+P$34+P$42+P$45+P54+P51+P48+P57+P60)/P$23</f>
        <v>0</v>
      </c>
      <c r="Q62" s="126"/>
      <c r="R62" s="126">
        <f>(R$25+R$28+R$31+R$34+R$42+R$45+R54+R51+R48+R57+R60)/R$23</f>
        <v>0</v>
      </c>
      <c r="S62" s="126"/>
      <c r="T62" s="373">
        <f>(T$25+T$28+T$31+T$34+T$42+T$45+T54+T51+T48+T57+T60)/T$23</f>
        <v>0</v>
      </c>
      <c r="V62" s="123"/>
      <c r="X62" s="124"/>
      <c r="Y62" s="124"/>
      <c r="AE62" s="124"/>
      <c r="AF62" s="124"/>
      <c r="AG62" s="124"/>
    </row>
    <row r="63" spans="2:33" s="120" customFormat="1" ht="26.15" customHeight="1">
      <c r="B63" s="121"/>
      <c r="C63" s="45"/>
      <c r="D63" s="122"/>
      <c r="E63" s="127" t="s">
        <v>20</v>
      </c>
      <c r="F63" s="128">
        <f>(ABS(F$25)+ABS(F$28)+ABS(F$31)+ABS(F$34)+ABS(F$42)+ABS(F$45)+ABS(F$54)+ABS(F$48)+ABS(F$51)+ABS(F57)+ABS(F60)+ABS(F$54))/F$23</f>
        <v>0</v>
      </c>
      <c r="G63" s="129"/>
      <c r="H63" s="128">
        <f>(ABS(H$25)+ABS(H$28)+ABS(H$31)+ABS(H$34)+ABS(H$42)+ABS(H$45)+ABS(H$54)+ABS(H$48)+ABS(H$51)+ABS(H57)+ABS(H60)+ABS(H$54))/H$23</f>
        <v>0</v>
      </c>
      <c r="I63" s="129"/>
      <c r="J63" s="128">
        <f>(ABS(J$25)+ABS(J$28)+ABS(J$31)+ABS(J$34)+ABS(J$42)+ABS(J$45)+ABS(J$54)+ABS(J$48)+ABS(J$51)+ABS(J57)+ABS(J60)+ABS(J$54))/J$23</f>
        <v>0</v>
      </c>
      <c r="K63" s="129"/>
      <c r="L63" s="128">
        <f>(ABS(L$25)+ABS(L$28)+ABS(L$31)+ABS(L$34)+ABS(L$42)+ABS(L$45)+ABS(L$54)+ABS(L$48)+ABS(L$51)+ABS(L57)+ABS(L60)+ABS(L$54))/L$23</f>
        <v>0</v>
      </c>
      <c r="M63" s="129"/>
      <c r="N63" s="128">
        <f>(ABS(N$25)+ABS(N$28)+ABS(N$31)+ABS(N$34)+ABS(N$42)+ABS(N$45)+ABS(N$54)+ABS(N$48)+ABS(N$51)+ABS(N57)+ABS(N60)+ABS(N$54))/N$23</f>
        <v>0</v>
      </c>
      <c r="O63" s="129"/>
      <c r="P63" s="128">
        <f>(ABS(P$25)+ABS(P$28)+ABS(P$31)+ABS(P$34)+ABS(P$42)+ABS(P$45)+ABS(P$54)+ABS(P$48)+ABS(P$51)+ABS(P57)+ABS(P60)+ABS(P$54))/P$23</f>
        <v>0</v>
      </c>
      <c r="Q63" s="129"/>
      <c r="R63" s="128">
        <f>(ABS(R$25)+ABS(R$28)+ABS(R$31)+ABS(R$34)+ABS(R$42)+ABS(R$45)+ABS(R$54)+ABS(R$48)+ABS(R$51)+ABS(R57)+ABS(R60)+ABS(R$54))/R$23</f>
        <v>0</v>
      </c>
      <c r="S63" s="129"/>
      <c r="T63" s="374">
        <f>(ABS(T$25)+ABS(T$28)+ABS(T$31)+ABS(T$34)+ABS(T$42)+ABS(T$45)+ABS(T$54)+ABS(T$48)+ABS(T$51)+ABS(T57)+ABS(T60)+ABS(T$54))/T$23</f>
        <v>0</v>
      </c>
      <c r="V63" s="123"/>
      <c r="X63" s="124"/>
      <c r="Y63" s="124"/>
      <c r="AE63" s="124"/>
      <c r="AF63" s="124"/>
      <c r="AG63" s="124"/>
    </row>
    <row r="64" spans="2:33" s="120" customFormat="1" ht="26.15" customHeight="1">
      <c r="B64" s="121"/>
      <c r="C64" s="45"/>
      <c r="D64" s="122"/>
      <c r="E64" s="189"/>
      <c r="F64" s="39"/>
      <c r="G64" s="38"/>
      <c r="H64" s="39"/>
      <c r="I64" s="38"/>
      <c r="J64" s="39"/>
      <c r="K64" s="38"/>
      <c r="L64" s="39"/>
      <c r="M64" s="38"/>
      <c r="N64" s="39"/>
      <c r="O64" s="38"/>
      <c r="P64" s="39"/>
      <c r="Q64" s="38"/>
      <c r="R64" s="39"/>
      <c r="S64" s="38"/>
      <c r="T64" s="39"/>
      <c r="V64" s="123"/>
      <c r="X64" s="124"/>
      <c r="Y64" s="124"/>
      <c r="AE64" s="124"/>
      <c r="AF64" s="124"/>
      <c r="AG64" s="124"/>
    </row>
    <row r="65" spans="1:25">
      <c r="B65" s="192" t="str">
        <f>B18</f>
        <v>3205 Vicksburg Ln  N</v>
      </c>
      <c r="C65" s="193"/>
      <c r="D65" s="194"/>
      <c r="E65" s="2"/>
      <c r="F65" s="39"/>
      <c r="G65" s="38"/>
      <c r="H65" s="39"/>
      <c r="I65" s="38"/>
      <c r="J65" s="39"/>
      <c r="K65" s="38"/>
      <c r="L65" s="39"/>
      <c r="M65" s="38"/>
      <c r="N65" s="39"/>
      <c r="O65" s="38"/>
      <c r="P65" s="39"/>
      <c r="Q65" s="38"/>
      <c r="R65" s="39"/>
      <c r="S65" s="38"/>
      <c r="T65" s="39"/>
      <c r="V65" s="28"/>
    </row>
    <row r="66" spans="1:25">
      <c r="B66" s="195"/>
      <c r="C66" s="196"/>
      <c r="D66" s="197"/>
      <c r="E66" s="59"/>
      <c r="F66" s="372"/>
      <c r="G66" s="59"/>
      <c r="H66" s="372"/>
      <c r="I66" s="59"/>
      <c r="J66" s="372"/>
      <c r="K66" s="59"/>
      <c r="L66" s="372"/>
      <c r="M66" s="38"/>
      <c r="N66" s="372"/>
      <c r="O66" s="38"/>
      <c r="P66" s="372"/>
      <c r="Q66" s="38"/>
      <c r="R66" s="372"/>
      <c r="S66" s="38"/>
      <c r="T66" s="372"/>
      <c r="V66" s="28"/>
      <c r="X66" s="28"/>
    </row>
    <row r="67" spans="1:25">
      <c r="B67" s="134"/>
      <c r="C67" s="2"/>
      <c r="D67" s="135"/>
      <c r="E67" s="2"/>
      <c r="F67" s="39"/>
      <c r="G67" s="38"/>
      <c r="H67" s="39"/>
      <c r="I67" s="38"/>
      <c r="J67" s="39"/>
      <c r="K67" s="38"/>
      <c r="L67" s="39"/>
      <c r="M67" s="38"/>
      <c r="N67" s="39"/>
      <c r="O67" s="38"/>
      <c r="P67" s="39"/>
      <c r="Q67" s="38"/>
      <c r="R67" s="39"/>
      <c r="S67" s="38"/>
      <c r="T67" s="39"/>
      <c r="U67" s="2"/>
      <c r="V67" s="28"/>
      <c r="X67" s="30"/>
    </row>
    <row r="68" spans="1:25">
      <c r="B68" s="134" t="s">
        <v>38</v>
      </c>
      <c r="C68" s="2"/>
      <c r="D68" s="136">
        <f>MIN(F61:T61)</f>
        <v>80</v>
      </c>
      <c r="E68" s="2"/>
      <c r="F68" s="41"/>
      <c r="G68" s="38"/>
      <c r="H68" s="39"/>
      <c r="I68" s="38"/>
      <c r="J68" s="39"/>
      <c r="K68" s="38"/>
      <c r="L68" s="39"/>
      <c r="M68" s="38"/>
      <c r="N68" s="39"/>
      <c r="O68" s="38"/>
      <c r="P68" s="39"/>
      <c r="Q68" s="38"/>
      <c r="R68" s="39"/>
      <c r="S68" s="38"/>
      <c r="T68" s="39"/>
      <c r="V68" s="28"/>
    </row>
    <row r="69" spans="1:25">
      <c r="B69" s="134" t="s">
        <v>37</v>
      </c>
      <c r="C69" s="2"/>
      <c r="D69" s="136">
        <f>MAX(F61:T61)</f>
        <v>99.9</v>
      </c>
      <c r="E69" s="43"/>
      <c r="F69" s="26"/>
      <c r="G69" s="42"/>
      <c r="H69" s="38"/>
      <c r="I69" s="43"/>
      <c r="J69" s="26"/>
      <c r="K69" s="43"/>
      <c r="L69" s="26"/>
      <c r="M69" s="43"/>
      <c r="N69" s="26"/>
      <c r="O69" s="43"/>
      <c r="P69" s="26"/>
      <c r="Q69" s="43"/>
      <c r="R69" s="26"/>
      <c r="S69" s="43"/>
      <c r="T69" s="26"/>
      <c r="V69" s="40"/>
    </row>
    <row r="70" spans="1:25">
      <c r="B70" s="134" t="s">
        <v>39</v>
      </c>
      <c r="C70" s="2"/>
      <c r="D70" s="136">
        <f>V65</f>
        <v>0</v>
      </c>
      <c r="E70" s="38"/>
      <c r="F70" s="38"/>
      <c r="G70" s="44"/>
      <c r="H70" s="38"/>
      <c r="I70" s="26"/>
      <c r="J70" s="38"/>
      <c r="K70" s="26"/>
      <c r="L70" s="38"/>
      <c r="M70" s="26"/>
      <c r="N70" s="38"/>
      <c r="O70" s="26"/>
      <c r="P70" s="38"/>
      <c r="Q70" s="26"/>
      <c r="R70" s="38"/>
      <c r="S70" s="26"/>
      <c r="T70" s="38"/>
      <c r="V70" s="40"/>
      <c r="X70" s="30"/>
    </row>
    <row r="71" spans="1:25">
      <c r="B71" s="134" t="s">
        <v>10</v>
      </c>
      <c r="C71" s="2"/>
      <c r="D71" s="136">
        <f>V61</f>
        <v>0</v>
      </c>
      <c r="E71" s="45"/>
      <c r="F71" s="45"/>
      <c r="G71" s="46"/>
      <c r="H71" s="45"/>
      <c r="I71" s="46"/>
      <c r="J71" s="45"/>
      <c r="K71" s="46"/>
      <c r="L71" s="45"/>
      <c r="M71" s="46"/>
      <c r="N71" s="45"/>
      <c r="O71" s="46"/>
      <c r="P71" s="45"/>
      <c r="Q71" s="46"/>
      <c r="R71" s="45"/>
      <c r="S71" s="46"/>
      <c r="T71" s="45"/>
      <c r="V71" s="40"/>
    </row>
    <row r="72" spans="1:25" ht="6" customHeight="1">
      <c r="B72" s="134"/>
      <c r="C72" s="2"/>
      <c r="D72" s="135"/>
      <c r="E72" s="45"/>
      <c r="F72" s="45"/>
      <c r="G72" s="46"/>
      <c r="H72" s="45"/>
      <c r="I72" s="46"/>
      <c r="J72" s="45"/>
      <c r="K72" s="46"/>
      <c r="L72" s="45"/>
      <c r="M72" s="46"/>
      <c r="N72" s="45"/>
      <c r="O72" s="46"/>
      <c r="P72" s="45"/>
      <c r="Q72" s="46"/>
      <c r="R72" s="45"/>
      <c r="S72" s="46"/>
      <c r="T72" s="45"/>
      <c r="U72" s="34"/>
      <c r="V72" s="34"/>
    </row>
    <row r="73" spans="1:25">
      <c r="B73" s="188" t="s">
        <v>45</v>
      </c>
      <c r="C73" s="189"/>
      <c r="D73" s="190">
        <v>80</v>
      </c>
      <c r="E73" s="38"/>
      <c r="F73" s="38"/>
      <c r="G73" s="38"/>
      <c r="H73" s="38"/>
      <c r="I73" s="38"/>
      <c r="J73" s="38"/>
      <c r="K73" s="38"/>
      <c r="L73" s="38"/>
      <c r="M73" s="38"/>
      <c r="N73" s="38"/>
      <c r="O73" s="38"/>
      <c r="P73" s="38"/>
      <c r="Q73" s="38"/>
      <c r="R73" s="38"/>
      <c r="S73" s="38"/>
      <c r="T73" s="38"/>
      <c r="X73" s="34"/>
      <c r="Y73" s="34"/>
    </row>
    <row r="74" spans="1:25">
      <c r="B74" s="137" t="s">
        <v>46</v>
      </c>
      <c r="C74" s="2"/>
      <c r="D74" s="138">
        <f>D50</f>
        <v>137562</v>
      </c>
      <c r="E74" s="38"/>
      <c r="F74" s="38"/>
      <c r="G74" s="38"/>
      <c r="H74" s="38"/>
      <c r="I74" s="38"/>
      <c r="J74" s="38"/>
      <c r="K74" s="38"/>
      <c r="L74" s="38"/>
      <c r="M74" s="38"/>
      <c r="N74" s="38"/>
      <c r="O74" s="38"/>
      <c r="P74" s="38"/>
      <c r="Q74" s="38"/>
      <c r="R74" s="38"/>
      <c r="S74" s="38"/>
      <c r="T74" s="38"/>
      <c r="X74" s="34"/>
      <c r="Y74" s="34"/>
    </row>
    <row r="75" spans="1:25" s="34" customFormat="1">
      <c r="B75" s="139" t="s">
        <v>50</v>
      </c>
      <c r="C75" s="3"/>
      <c r="D75" s="140">
        <f>+D73*D74</f>
        <v>11004960</v>
      </c>
      <c r="E75" s="2"/>
      <c r="F75" s="2"/>
      <c r="G75" s="2"/>
      <c r="H75" s="2"/>
      <c r="I75" s="2"/>
      <c r="J75" s="2"/>
      <c r="K75" s="2"/>
      <c r="L75" s="2"/>
      <c r="M75" s="2"/>
      <c r="N75" s="2"/>
      <c r="O75" s="2"/>
      <c r="P75" s="2"/>
      <c r="Q75" s="2"/>
      <c r="R75" s="2"/>
      <c r="S75" s="2"/>
      <c r="T75" s="2"/>
      <c r="U75" s="2"/>
      <c r="V75" s="2"/>
    </row>
    <row r="76" spans="1:25" s="34" customFormat="1" ht="6" customHeight="1">
      <c r="B76" s="139"/>
      <c r="C76" s="4"/>
      <c r="D76" s="140"/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  <c r="U76" s="47"/>
      <c r="V76" s="2"/>
      <c r="X76" s="6"/>
      <c r="Y76" s="6"/>
    </row>
    <row r="77" spans="1:25">
      <c r="A77" s="48"/>
      <c r="B77" s="141" t="s">
        <v>101</v>
      </c>
      <c r="C77" s="5"/>
      <c r="D77" s="142"/>
      <c r="E77" s="52"/>
      <c r="G77" s="52"/>
      <c r="I77" s="52"/>
      <c r="K77" s="52"/>
      <c r="M77" s="52"/>
      <c r="O77" s="52"/>
      <c r="Q77" s="52"/>
      <c r="S77" s="52"/>
    </row>
    <row r="78" spans="1:25">
      <c r="A78" s="48"/>
      <c r="B78" s="141" t="s">
        <v>112</v>
      </c>
      <c r="C78" s="2"/>
      <c r="D78" s="198">
        <f>ROUND(D75,-4)</f>
        <v>11000000</v>
      </c>
      <c r="G78" s="28"/>
    </row>
    <row r="79" spans="1:25">
      <c r="A79" s="48"/>
      <c r="B79" s="200" t="s">
        <v>21</v>
      </c>
      <c r="C79" s="201"/>
      <c r="D79" s="199"/>
      <c r="G79" s="28"/>
    </row>
    <row r="80" spans="1:25">
      <c r="B80" s="50"/>
      <c r="C80" s="50"/>
      <c r="D80" s="51"/>
      <c r="G80" s="28"/>
    </row>
    <row r="82" spans="2:22"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</row>
    <row r="83" spans="2:22"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</row>
    <row r="84" spans="2:22">
      <c r="B84" s="2"/>
      <c r="C84" s="2"/>
      <c r="D84" s="2"/>
      <c r="E84" s="191"/>
      <c r="F84" s="191"/>
      <c r="G84" s="191"/>
      <c r="H84" s="191"/>
      <c r="I84" s="191"/>
      <c r="J84" s="191"/>
      <c r="K84" s="191"/>
      <c r="L84" s="191"/>
      <c r="M84" s="191"/>
      <c r="N84" s="191"/>
      <c r="O84" s="191"/>
      <c r="P84" s="191"/>
      <c r="Q84" s="191"/>
      <c r="R84" s="191"/>
      <c r="S84" s="191"/>
      <c r="T84" s="191"/>
      <c r="U84" s="2"/>
      <c r="V84" s="2"/>
    </row>
    <row r="85" spans="2:22">
      <c r="B85" s="2"/>
      <c r="C85" s="2"/>
      <c r="D85" s="2"/>
      <c r="E85" s="36"/>
      <c r="F85" s="56"/>
      <c r="G85" s="36"/>
      <c r="H85" s="56"/>
      <c r="I85" s="36"/>
      <c r="J85" s="56"/>
      <c r="K85" s="36"/>
      <c r="L85" s="56"/>
      <c r="M85" s="36"/>
      <c r="N85" s="56"/>
      <c r="O85" s="36"/>
      <c r="P85" s="56"/>
      <c r="Q85" s="36"/>
      <c r="R85" s="56"/>
      <c r="S85" s="36"/>
      <c r="T85" s="56"/>
      <c r="U85" s="2"/>
      <c r="V85" s="2"/>
    </row>
    <row r="86" spans="2:22">
      <c r="B86" s="2"/>
      <c r="C86" s="2"/>
      <c r="D86" s="2"/>
      <c r="E86" s="59"/>
      <c r="F86" s="60"/>
      <c r="G86" s="59"/>
      <c r="H86" s="60"/>
      <c r="I86" s="59"/>
      <c r="J86" s="60"/>
      <c r="K86" s="59"/>
      <c r="L86" s="60"/>
      <c r="M86" s="59"/>
      <c r="N86" s="60"/>
      <c r="O86" s="59"/>
      <c r="P86" s="60"/>
      <c r="Q86" s="59"/>
      <c r="R86" s="60"/>
      <c r="S86" s="59"/>
      <c r="T86" s="60"/>
      <c r="U86" s="2"/>
      <c r="V86" s="2"/>
    </row>
    <row r="87" spans="2:22">
      <c r="B87" s="2"/>
      <c r="C87" s="2"/>
      <c r="D87" s="2"/>
      <c r="E87" s="2"/>
      <c r="F87" s="2"/>
      <c r="G87" s="2"/>
      <c r="H87" s="2"/>
      <c r="I87" s="2"/>
      <c r="J87" s="2"/>
      <c r="K87" s="2"/>
      <c r="L87" s="2"/>
      <c r="M87" s="2"/>
      <c r="N87" s="2"/>
      <c r="O87" s="2"/>
      <c r="P87" s="2"/>
      <c r="Q87" s="2"/>
      <c r="R87" s="2"/>
      <c r="S87" s="2"/>
      <c r="T87" s="2"/>
      <c r="U87" s="2"/>
      <c r="V87" s="2"/>
    </row>
    <row r="88" spans="2:22" ht="49.2" customHeight="1">
      <c r="B88" s="53"/>
      <c r="C88" s="54"/>
      <c r="D88" s="35"/>
      <c r="E88" s="2"/>
      <c r="F88" s="2"/>
      <c r="G88" s="2"/>
      <c r="H88" s="2"/>
      <c r="I88" s="2"/>
      <c r="J88" s="2"/>
      <c r="K88" s="2"/>
      <c r="L88" s="2"/>
      <c r="M88" s="2"/>
      <c r="N88" s="2"/>
      <c r="O88" s="2"/>
      <c r="P88" s="2"/>
      <c r="Q88" s="2"/>
      <c r="R88" s="2"/>
      <c r="S88" s="2"/>
      <c r="T88" s="2"/>
      <c r="U88" s="2"/>
      <c r="V88" s="2"/>
    </row>
    <row r="89" spans="2:22" ht="18" customHeight="1">
      <c r="B89" s="55"/>
      <c r="C89" s="55"/>
      <c r="D89" s="35"/>
      <c r="E89" s="2"/>
      <c r="F89" s="2"/>
      <c r="G89" s="2"/>
      <c r="H89" s="2"/>
      <c r="I89" s="2"/>
      <c r="J89" s="2"/>
      <c r="K89" s="2"/>
      <c r="L89" s="2"/>
      <c r="M89" s="2"/>
      <c r="N89" s="2"/>
      <c r="O89" s="2"/>
      <c r="P89" s="2"/>
      <c r="Q89" s="2"/>
      <c r="R89" s="2"/>
      <c r="S89" s="2"/>
      <c r="T89" s="2"/>
      <c r="U89" s="2"/>
      <c r="V89" s="2"/>
    </row>
    <row r="90" spans="2:22" ht="18" customHeight="1">
      <c r="B90" s="57"/>
      <c r="C90" s="36"/>
      <c r="D90" s="58"/>
      <c r="E90" s="2"/>
      <c r="F90" s="2"/>
      <c r="G90" s="2"/>
      <c r="H90" s="2"/>
      <c r="I90" s="2"/>
      <c r="J90" s="2"/>
      <c r="K90" s="2"/>
      <c r="L90" s="2"/>
      <c r="M90" s="2"/>
      <c r="N90" s="2"/>
      <c r="O90" s="2"/>
      <c r="P90" s="2"/>
      <c r="Q90" s="2"/>
      <c r="R90" s="2"/>
      <c r="S90" s="2"/>
      <c r="T90" s="2"/>
      <c r="U90" s="2"/>
      <c r="V90" s="2"/>
    </row>
    <row r="91" spans="2:22" ht="18" customHeight="1">
      <c r="B91" s="2"/>
      <c r="C91" s="2"/>
      <c r="D91" s="2"/>
      <c r="E91" s="2"/>
      <c r="F91" s="2"/>
      <c r="G91" s="2"/>
      <c r="H91" s="2"/>
      <c r="I91" s="2"/>
      <c r="J91" s="2"/>
      <c r="K91" s="2"/>
      <c r="L91" s="2"/>
      <c r="M91" s="2"/>
      <c r="N91" s="2"/>
      <c r="O91" s="2"/>
      <c r="P91" s="2"/>
      <c r="Q91" s="2"/>
      <c r="R91" s="2"/>
      <c r="S91" s="2"/>
      <c r="T91" s="2"/>
      <c r="U91" s="2"/>
    </row>
    <row r="92" spans="2:22" ht="18" customHeight="1">
      <c r="B92" s="2"/>
      <c r="C92" s="2"/>
      <c r="D92" s="2"/>
      <c r="U92" s="2"/>
    </row>
    <row r="93" spans="2:22" ht="18" customHeight="1">
      <c r="B93" s="2"/>
      <c r="C93" s="2"/>
      <c r="D93" s="2"/>
      <c r="U93" s="2"/>
    </row>
    <row r="94" spans="2:22" ht="18" customHeight="1">
      <c r="B94" s="2"/>
      <c r="C94" s="2"/>
      <c r="D94" s="2"/>
      <c r="U94" s="2"/>
    </row>
    <row r="95" spans="2:22" ht="18" customHeight="1">
      <c r="B95" s="2"/>
      <c r="C95" s="2"/>
      <c r="D95" s="2"/>
      <c r="U95" s="2"/>
    </row>
  </sheetData>
  <mergeCells count="110">
    <mergeCell ref="O55:P55"/>
    <mergeCell ref="Q55:R55"/>
    <mergeCell ref="S55:T55"/>
    <mergeCell ref="E58:F58"/>
    <mergeCell ref="G58:H58"/>
    <mergeCell ref="I58:J58"/>
    <mergeCell ref="K58:L58"/>
    <mergeCell ref="M58:N58"/>
    <mergeCell ref="O58:P58"/>
    <mergeCell ref="Q58:R58"/>
    <mergeCell ref="S58:T58"/>
    <mergeCell ref="E55:F55"/>
    <mergeCell ref="G55:H55"/>
    <mergeCell ref="I55:J55"/>
    <mergeCell ref="K55:L55"/>
    <mergeCell ref="M55:N55"/>
    <mergeCell ref="B14:T15"/>
    <mergeCell ref="B18:D18"/>
    <mergeCell ref="E18:F18"/>
    <mergeCell ref="G18:H18"/>
    <mergeCell ref="I18:J18"/>
    <mergeCell ref="K18:L18"/>
    <mergeCell ref="M18:N18"/>
    <mergeCell ref="O18:P18"/>
    <mergeCell ref="Q18:R18"/>
    <mergeCell ref="S18:T18"/>
    <mergeCell ref="Q21:R21"/>
    <mergeCell ref="S21:T21"/>
    <mergeCell ref="E22:F22"/>
    <mergeCell ref="G22:H22"/>
    <mergeCell ref="I22:J22"/>
    <mergeCell ref="K22:L22"/>
    <mergeCell ref="M22:N22"/>
    <mergeCell ref="O22:P22"/>
    <mergeCell ref="Q22:R22"/>
    <mergeCell ref="S22:T22"/>
    <mergeCell ref="E21:F21"/>
    <mergeCell ref="G21:H21"/>
    <mergeCell ref="I21:J21"/>
    <mergeCell ref="K21:L21"/>
    <mergeCell ref="M21:N21"/>
    <mergeCell ref="O21:P21"/>
    <mergeCell ref="Q24:R24"/>
    <mergeCell ref="S24:T24"/>
    <mergeCell ref="E27:F27"/>
    <mergeCell ref="G27:H27"/>
    <mergeCell ref="I27:J27"/>
    <mergeCell ref="K27:L27"/>
    <mergeCell ref="M27:N27"/>
    <mergeCell ref="O27:P27"/>
    <mergeCell ref="Q27:R27"/>
    <mergeCell ref="S27:T27"/>
    <mergeCell ref="E24:F24"/>
    <mergeCell ref="G24:H24"/>
    <mergeCell ref="I24:J24"/>
    <mergeCell ref="K24:L24"/>
    <mergeCell ref="M24:N24"/>
    <mergeCell ref="O24:P24"/>
    <mergeCell ref="Q30:R30"/>
    <mergeCell ref="S30:T30"/>
    <mergeCell ref="B36:T36"/>
    <mergeCell ref="E40:F40"/>
    <mergeCell ref="G40:H40"/>
    <mergeCell ref="I40:J40"/>
    <mergeCell ref="K40:L40"/>
    <mergeCell ref="M40:N40"/>
    <mergeCell ref="O40:P40"/>
    <mergeCell ref="Q40:R40"/>
    <mergeCell ref="E30:F30"/>
    <mergeCell ref="G30:H30"/>
    <mergeCell ref="I30:J30"/>
    <mergeCell ref="K30:L30"/>
    <mergeCell ref="M30:N30"/>
    <mergeCell ref="O30:P30"/>
    <mergeCell ref="O49:P49"/>
    <mergeCell ref="S40:T40"/>
    <mergeCell ref="E46:F46"/>
    <mergeCell ref="G46:H46"/>
    <mergeCell ref="I46:J46"/>
    <mergeCell ref="K46:L46"/>
    <mergeCell ref="M46:N46"/>
    <mergeCell ref="O46:P46"/>
    <mergeCell ref="Q46:R46"/>
    <mergeCell ref="S46:T46"/>
    <mergeCell ref="I84:J84"/>
    <mergeCell ref="Q49:R49"/>
    <mergeCell ref="S49:T49"/>
    <mergeCell ref="E52:F52"/>
    <mergeCell ref="G52:H52"/>
    <mergeCell ref="I52:J52"/>
    <mergeCell ref="K52:L52"/>
    <mergeCell ref="M52:N52"/>
    <mergeCell ref="O52:P52"/>
    <mergeCell ref="Q52:R52"/>
    <mergeCell ref="S52:T52"/>
    <mergeCell ref="E49:F49"/>
    <mergeCell ref="G49:H49"/>
    <mergeCell ref="I49:J49"/>
    <mergeCell ref="K49:L49"/>
    <mergeCell ref="M49:N49"/>
    <mergeCell ref="B65:D66"/>
    <mergeCell ref="D78:D79"/>
    <mergeCell ref="B79:C79"/>
    <mergeCell ref="E84:F84"/>
    <mergeCell ref="G84:H84"/>
    <mergeCell ref="K84:L84"/>
    <mergeCell ref="M84:N84"/>
    <mergeCell ref="O84:P84"/>
    <mergeCell ref="Q84:R84"/>
    <mergeCell ref="S84:T84"/>
  </mergeCells>
  <pageMargins left="0.75" right="0.75" top="1" bottom="1" header="0.5" footer="0.5"/>
  <pageSetup orientation="landscape" horizontalDpi="4294967292" verticalDpi="4294967292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532D42-CC1D-4DE6-99DF-7D34F83D44AA}">
  <sheetPr>
    <pageSetUpPr fitToPage="1"/>
  </sheetPr>
  <dimension ref="A1:AG89"/>
  <sheetViews>
    <sheetView topLeftCell="A50" zoomScale="50" zoomScaleNormal="50" workbookViewId="0">
      <selection activeCell="D77" sqref="D77:E77"/>
    </sheetView>
  </sheetViews>
  <sheetFormatPr defaultColWidth="10.90625" defaultRowHeight="18"/>
  <cols>
    <col min="1" max="1" width="10.90625" style="6" customWidth="1"/>
    <col min="2" max="2" width="31.36328125" style="6" customWidth="1"/>
    <col min="3" max="3" width="4.08984375" style="6" customWidth="1"/>
    <col min="4" max="4" width="19.6328125" style="6" customWidth="1"/>
    <col min="5" max="5" width="10.81640625" style="6" customWidth="1"/>
    <col min="6" max="6" width="15.36328125" style="6" customWidth="1"/>
    <col min="7" max="7" width="9.81640625" style="6" customWidth="1"/>
    <col min="8" max="8" width="12.6328125" style="6" customWidth="1"/>
    <col min="9" max="9" width="10.08984375" style="6" customWidth="1"/>
    <col min="10" max="10" width="16.6328125" style="6" customWidth="1"/>
    <col min="11" max="11" width="10.08984375" style="6" customWidth="1"/>
    <col min="12" max="12" width="16.90625" style="6" customWidth="1"/>
    <col min="13" max="13" width="9.08984375" style="6" customWidth="1"/>
    <col min="14" max="14" width="15" style="6" customWidth="1"/>
    <col min="15" max="15" width="9" style="6" customWidth="1"/>
    <col min="16" max="16" width="17.90625" style="6" customWidth="1"/>
    <col min="17" max="17" width="9.26953125" style="6" customWidth="1"/>
    <col min="18" max="18" width="13.453125" style="6" customWidth="1"/>
    <col min="19" max="19" width="9.90625" style="6" customWidth="1"/>
    <col min="20" max="20" width="16.08984375" style="6" customWidth="1"/>
    <col min="21" max="21" width="8.453125" style="6" bestFit="1" customWidth="1"/>
    <col min="22" max="23" width="15" style="6" bestFit="1" customWidth="1"/>
    <col min="24" max="24" width="10" style="6" bestFit="1" customWidth="1"/>
    <col min="25" max="25" width="4" style="6" bestFit="1" customWidth="1"/>
    <col min="26" max="26" width="12" style="6" bestFit="1" customWidth="1"/>
    <col min="27" max="28" width="10.90625" style="6" customWidth="1"/>
    <col min="29" max="29" width="10" style="6" customWidth="1"/>
    <col min="30" max="30" width="10.90625" style="6" customWidth="1"/>
    <col min="31" max="31" width="33.90625" style="6" customWidth="1"/>
    <col min="32" max="32" width="20.08984375" style="6" customWidth="1"/>
    <col min="33" max="33" width="14.90625" style="6" customWidth="1"/>
    <col min="34" max="16384" width="10.90625" style="6"/>
  </cols>
  <sheetData>
    <row r="1" spans="1:33">
      <c r="F1" s="7" t="s">
        <v>53</v>
      </c>
      <c r="H1" s="7" t="s">
        <v>54</v>
      </c>
      <c r="J1" s="7" t="s">
        <v>62</v>
      </c>
      <c r="L1" s="7" t="s">
        <v>55</v>
      </c>
      <c r="N1" s="7" t="s">
        <v>56</v>
      </c>
      <c r="P1" s="7" t="s">
        <v>57</v>
      </c>
      <c r="R1" s="7" t="s">
        <v>80</v>
      </c>
      <c r="T1" s="7" t="s">
        <v>95</v>
      </c>
    </row>
    <row r="2" spans="1:33" s="8" customFormat="1">
      <c r="D2" s="9" t="s">
        <v>22</v>
      </c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AE2" s="6"/>
      <c r="AF2" s="6"/>
      <c r="AG2" s="6"/>
    </row>
    <row r="3" spans="1:33" s="8" customFormat="1" ht="54">
      <c r="D3" s="11"/>
      <c r="F3" s="10" t="s">
        <v>66</v>
      </c>
      <c r="H3" s="10" t="s">
        <v>71</v>
      </c>
      <c r="J3" s="10" t="s">
        <v>92</v>
      </c>
      <c r="L3" s="10" t="s">
        <v>73</v>
      </c>
      <c r="N3" s="10" t="s">
        <v>75</v>
      </c>
      <c r="P3" s="10" t="s">
        <v>77</v>
      </c>
      <c r="R3" s="10" t="s">
        <v>83</v>
      </c>
      <c r="T3" s="10" t="s">
        <v>81</v>
      </c>
      <c r="AE3" s="6"/>
      <c r="AF3" s="6"/>
      <c r="AG3" s="6"/>
    </row>
    <row r="4" spans="1:33">
      <c r="D4" s="12" t="s">
        <v>23</v>
      </c>
      <c r="E4" s="13"/>
      <c r="F4" s="14" t="s">
        <v>67</v>
      </c>
      <c r="G4" s="13"/>
      <c r="H4" s="14" t="s">
        <v>72</v>
      </c>
      <c r="I4" s="13"/>
      <c r="J4" s="14" t="s">
        <v>91</v>
      </c>
      <c r="K4" s="13"/>
      <c r="L4" s="14" t="s">
        <v>74</v>
      </c>
      <c r="M4" s="13"/>
      <c r="N4" s="14" t="s">
        <v>76</v>
      </c>
      <c r="O4" s="13"/>
      <c r="P4" s="14" t="s">
        <v>78</v>
      </c>
      <c r="Q4" s="13"/>
      <c r="R4" s="14" t="s">
        <v>84</v>
      </c>
      <c r="S4" s="13"/>
      <c r="T4" s="14" t="s">
        <v>82</v>
      </c>
    </row>
    <row r="5" spans="1:33">
      <c r="D5" s="12" t="s">
        <v>24</v>
      </c>
      <c r="E5" s="13"/>
      <c r="F5" s="15">
        <v>41143</v>
      </c>
      <c r="G5" s="13"/>
      <c r="H5" s="15">
        <v>41060</v>
      </c>
      <c r="I5" s="13"/>
      <c r="J5" s="15">
        <v>41060</v>
      </c>
      <c r="K5" s="13"/>
      <c r="L5" s="15">
        <v>40702</v>
      </c>
      <c r="M5" s="13"/>
      <c r="N5" s="15">
        <v>40968</v>
      </c>
      <c r="O5" s="13"/>
      <c r="P5" s="15">
        <v>39903</v>
      </c>
      <c r="Q5" s="13"/>
      <c r="R5" s="15">
        <v>39721</v>
      </c>
      <c r="S5" s="13"/>
      <c r="T5" s="15">
        <v>39667</v>
      </c>
    </row>
    <row r="6" spans="1:33" s="21" customFormat="1">
      <c r="A6" s="16"/>
      <c r="B6" s="16"/>
      <c r="C6" s="16"/>
      <c r="D6" s="17" t="s">
        <v>41</v>
      </c>
      <c r="E6" s="18"/>
      <c r="F6" s="19">
        <v>212375</v>
      </c>
      <c r="G6" s="20"/>
      <c r="H6" s="19">
        <v>51276</v>
      </c>
      <c r="I6" s="20"/>
      <c r="J6" s="19">
        <v>121638</v>
      </c>
      <c r="K6" s="20"/>
      <c r="L6" s="19">
        <v>140684</v>
      </c>
      <c r="M6" s="20"/>
      <c r="N6" s="19">
        <v>67146</v>
      </c>
      <c r="O6" s="20"/>
      <c r="P6" s="19">
        <v>52920</v>
      </c>
      <c r="Q6" s="20"/>
      <c r="R6" s="19">
        <v>127082</v>
      </c>
      <c r="S6" s="20"/>
      <c r="T6" s="19">
        <v>139588</v>
      </c>
      <c r="AE6" s="6"/>
      <c r="AF6" s="6"/>
      <c r="AG6" s="6"/>
    </row>
    <row r="7" spans="1:33">
      <c r="D7" s="12" t="s">
        <v>25</v>
      </c>
      <c r="E7" s="22"/>
      <c r="F7" s="22">
        <v>16000000</v>
      </c>
      <c r="G7" s="22"/>
      <c r="H7" s="22">
        <v>4820000</v>
      </c>
      <c r="I7" s="22"/>
      <c r="J7" s="22">
        <v>9900000</v>
      </c>
      <c r="K7" s="22"/>
      <c r="L7" s="22">
        <v>5200000</v>
      </c>
      <c r="M7" s="22"/>
      <c r="N7" s="22">
        <v>6200000</v>
      </c>
      <c r="O7" s="22"/>
      <c r="P7" s="22">
        <v>2600000</v>
      </c>
      <c r="Q7" s="22"/>
      <c r="R7" s="22">
        <v>5000000</v>
      </c>
      <c r="S7" s="22"/>
      <c r="T7" s="22">
        <v>3200000</v>
      </c>
    </row>
    <row r="8" spans="1:33">
      <c r="D8" s="12" t="s">
        <v>26</v>
      </c>
      <c r="E8" s="22"/>
      <c r="F8" s="22">
        <v>0</v>
      </c>
      <c r="G8" s="22"/>
      <c r="H8" s="22">
        <v>180000</v>
      </c>
      <c r="I8" s="22"/>
      <c r="J8" s="22">
        <v>0</v>
      </c>
      <c r="K8" s="22"/>
      <c r="L8" s="22">
        <v>0</v>
      </c>
      <c r="M8" s="22"/>
      <c r="N8" s="22">
        <v>0</v>
      </c>
      <c r="O8" s="22"/>
      <c r="P8" s="22">
        <v>0</v>
      </c>
      <c r="Q8" s="22"/>
      <c r="R8" s="22">
        <v>0</v>
      </c>
      <c r="S8" s="22"/>
      <c r="T8" s="22">
        <v>0</v>
      </c>
    </row>
    <row r="9" spans="1:33">
      <c r="D9" s="12" t="s">
        <v>27</v>
      </c>
      <c r="E9" s="22"/>
      <c r="F9" s="22">
        <v>0</v>
      </c>
      <c r="G9" s="22"/>
      <c r="H9" s="22">
        <v>0</v>
      </c>
      <c r="I9" s="22"/>
      <c r="J9" s="22">
        <v>0</v>
      </c>
      <c r="K9" s="22"/>
      <c r="L9" s="22">
        <v>0</v>
      </c>
      <c r="M9" s="22"/>
      <c r="N9" s="22">
        <v>-1100000</v>
      </c>
      <c r="O9" s="22"/>
      <c r="P9" s="22">
        <v>0</v>
      </c>
      <c r="Q9" s="22"/>
      <c r="R9" s="22">
        <v>0</v>
      </c>
      <c r="S9" s="22"/>
      <c r="T9" s="22">
        <v>0</v>
      </c>
    </row>
    <row r="10" spans="1:33">
      <c r="D10" s="12" t="s">
        <v>28</v>
      </c>
      <c r="E10" s="22"/>
      <c r="F10" s="22">
        <f>SUM(F7:F9)</f>
        <v>16000000</v>
      </c>
      <c r="G10" s="22"/>
      <c r="H10" s="22">
        <f>H7</f>
        <v>4820000</v>
      </c>
      <c r="I10" s="22"/>
      <c r="J10" s="22">
        <f>SUM(J7:J9)</f>
        <v>9900000</v>
      </c>
      <c r="K10" s="22"/>
      <c r="L10" s="22">
        <f>SUM(L7:L9)</f>
        <v>5200000</v>
      </c>
      <c r="M10" s="22"/>
      <c r="N10" s="22">
        <f>N7</f>
        <v>6200000</v>
      </c>
      <c r="O10" s="22"/>
      <c r="P10" s="22">
        <f>SUM(P7:P9)</f>
        <v>2600000</v>
      </c>
      <c r="Q10" s="22"/>
      <c r="R10" s="22">
        <f>SUM(R7:R9)</f>
        <v>5000000</v>
      </c>
      <c r="S10" s="22"/>
      <c r="T10" s="22">
        <f>SUM(T7:T9)</f>
        <v>3200000</v>
      </c>
    </row>
    <row r="11" spans="1:33">
      <c r="A11" s="23"/>
      <c r="B11" s="23"/>
      <c r="C11" s="23"/>
      <c r="D11" s="24" t="s">
        <v>29</v>
      </c>
      <c r="E11" s="25"/>
      <c r="F11" s="25">
        <f>F7/F6</f>
        <v>75.33843437316068</v>
      </c>
      <c r="G11" s="25"/>
      <c r="H11" s="25">
        <f>H7/H6</f>
        <v>94.001092128871207</v>
      </c>
      <c r="I11" s="25"/>
      <c r="J11" s="25">
        <f>J7/J6</f>
        <v>81.389039609332613</v>
      </c>
      <c r="K11" s="25"/>
      <c r="L11" s="25">
        <f>L7/L6</f>
        <v>36.962270052031506</v>
      </c>
      <c r="M11" s="25"/>
      <c r="N11" s="25">
        <f>N7/N6</f>
        <v>92.336103416435833</v>
      </c>
      <c r="O11" s="25"/>
      <c r="P11" s="25">
        <f>P7/P6</f>
        <v>49.130763416477706</v>
      </c>
      <c r="Q11" s="25"/>
      <c r="R11" s="25">
        <f>R7/R6</f>
        <v>39.344675091673096</v>
      </c>
      <c r="S11" s="25"/>
      <c r="T11" s="25">
        <f>T7/T6</f>
        <v>22.924606699716307</v>
      </c>
    </row>
    <row r="12" spans="1:33">
      <c r="A12" s="23"/>
      <c r="B12" s="23"/>
      <c r="C12" s="23"/>
      <c r="D12" s="26" t="s">
        <v>9</v>
      </c>
      <c r="E12" s="25"/>
      <c r="F12" s="25">
        <v>9.6999999999999993</v>
      </c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</row>
    <row r="14" spans="1:33" ht="13.2" customHeight="1">
      <c r="B14" s="234" t="s">
        <v>97</v>
      </c>
      <c r="C14" s="235"/>
      <c r="D14" s="235"/>
      <c r="E14" s="235"/>
      <c r="F14" s="235"/>
      <c r="G14" s="235"/>
      <c r="H14" s="235"/>
      <c r="I14" s="235"/>
      <c r="J14" s="235"/>
      <c r="K14" s="235"/>
      <c r="L14" s="235"/>
      <c r="M14" s="235"/>
      <c r="N14" s="235"/>
      <c r="O14" s="235"/>
      <c r="P14" s="235"/>
      <c r="Q14" s="235"/>
      <c r="R14" s="235"/>
      <c r="S14" s="235"/>
      <c r="T14" s="236"/>
      <c r="Y14" s="27"/>
    </row>
    <row r="15" spans="1:33" ht="15" customHeight="1" thickBot="1">
      <c r="B15" s="237"/>
      <c r="C15" s="238"/>
      <c r="D15" s="238"/>
      <c r="E15" s="239"/>
      <c r="F15" s="239"/>
      <c r="G15" s="239"/>
      <c r="H15" s="239"/>
      <c r="I15" s="239"/>
      <c r="J15" s="239"/>
      <c r="K15" s="239"/>
      <c r="L15" s="239"/>
      <c r="M15" s="239"/>
      <c r="N15" s="239"/>
      <c r="O15" s="239"/>
      <c r="P15" s="239"/>
      <c r="Q15" s="239"/>
      <c r="R15" s="239"/>
      <c r="S15" s="239"/>
      <c r="T15" s="240"/>
    </row>
    <row r="16" spans="1:33" ht="23.8" customHeight="1">
      <c r="B16" s="117" t="s">
        <v>0</v>
      </c>
      <c r="C16" s="62"/>
      <c r="D16" s="63" t="s">
        <v>1</v>
      </c>
      <c r="E16" s="64"/>
      <c r="F16" s="65" t="str">
        <f>+F1</f>
        <v>Sale 1</v>
      </c>
      <c r="G16" s="64"/>
      <c r="H16" s="66" t="str">
        <f>+H1</f>
        <v>Sale 2</v>
      </c>
      <c r="I16" s="64"/>
      <c r="J16" s="66" t="str">
        <f>+J1</f>
        <v>Sale 3</v>
      </c>
      <c r="K16" s="67"/>
      <c r="L16" s="65" t="str">
        <f>+L1</f>
        <v>Sale 4</v>
      </c>
      <c r="M16" s="64"/>
      <c r="N16" s="65" t="str">
        <f>+N1</f>
        <v>Sale 5</v>
      </c>
      <c r="O16" s="64"/>
      <c r="P16" s="65" t="str">
        <f>+P1</f>
        <v>Sale 6</v>
      </c>
      <c r="Q16" s="64"/>
      <c r="R16" s="66" t="str">
        <f>R1</f>
        <v>Sale 7</v>
      </c>
      <c r="S16" s="67"/>
      <c r="T16" s="66" t="str">
        <f>+T1</f>
        <v>Sale 8</v>
      </c>
    </row>
    <row r="17" spans="2:33" s="8" customFormat="1" ht="23.8" customHeight="1">
      <c r="B17" s="118" t="s">
        <v>2</v>
      </c>
      <c r="C17" s="68"/>
      <c r="D17" s="69"/>
      <c r="E17" s="70"/>
      <c r="F17" s="186"/>
      <c r="G17" s="70"/>
      <c r="H17" s="185"/>
      <c r="I17" s="70"/>
      <c r="J17" s="185"/>
      <c r="K17" s="68"/>
      <c r="L17" s="186"/>
      <c r="M17" s="70"/>
      <c r="N17" s="186"/>
      <c r="O17" s="70"/>
      <c r="P17" s="186"/>
      <c r="Q17" s="70"/>
      <c r="R17" s="185"/>
      <c r="S17" s="68"/>
      <c r="T17" s="185"/>
      <c r="AE17" s="6"/>
      <c r="AF17" s="6"/>
      <c r="AG17" s="6"/>
    </row>
    <row r="18" spans="2:33" s="8" customFormat="1" ht="23.8" customHeight="1">
      <c r="B18" s="241" t="s">
        <v>99</v>
      </c>
      <c r="C18" s="242"/>
      <c r="D18" s="243"/>
      <c r="E18" s="244" t="str">
        <f>IF(F3=0,"  ",F3)</f>
        <v>8301 Flying Cloud Dr</v>
      </c>
      <c r="F18" s="245"/>
      <c r="G18" s="244" t="str">
        <f>IF(H3=0,"  ",H3)</f>
        <v>1959 Suburban</v>
      </c>
      <c r="H18" s="245"/>
      <c r="I18" s="244" t="str">
        <f>IF(J3=0,"  ",J3)</f>
        <v>14230 Burnhaven Dr</v>
      </c>
      <c r="J18" s="245"/>
      <c r="K18" s="246" t="str">
        <f>IF(L3=0,"  ",L3)</f>
        <v>4405 Pheasant Ridge</v>
      </c>
      <c r="L18" s="246"/>
      <c r="M18" s="244" t="str">
        <f>IF(N3=0,"  ",N3)</f>
        <v>441 Hwy 96</v>
      </c>
      <c r="N18" s="245"/>
      <c r="O18" s="244" t="str">
        <f>IF(P3=0,"  ",P3)</f>
        <v>5925 Earle Brown Dr</v>
      </c>
      <c r="P18" s="246"/>
      <c r="Q18" s="244" t="str">
        <f>IF(R3=0,"  ",R3)</f>
        <v>2324 3rd Ave</v>
      </c>
      <c r="R18" s="245"/>
      <c r="S18" s="246" t="str">
        <f>IF(T3=0,"  ",T3)</f>
        <v>13800 Rogers Dr</v>
      </c>
      <c r="T18" s="245"/>
      <c r="AE18" s="6"/>
      <c r="AF18" s="6"/>
      <c r="AG18" s="6"/>
    </row>
    <row r="19" spans="2:33" ht="23.8" customHeight="1">
      <c r="B19" s="71"/>
      <c r="C19" s="62"/>
      <c r="D19" s="187" t="s">
        <v>65</v>
      </c>
      <c r="E19" s="71"/>
      <c r="F19" s="72" t="str">
        <f>+F4</f>
        <v>Eden Prairie</v>
      </c>
      <c r="G19" s="73"/>
      <c r="H19" s="74" t="str">
        <f>+H4</f>
        <v>St. Paul</v>
      </c>
      <c r="I19" s="73"/>
      <c r="J19" s="74" t="str">
        <f>+J4</f>
        <v>Burnsville</v>
      </c>
      <c r="K19" s="75"/>
      <c r="L19" s="72" t="str">
        <f>+L4</f>
        <v>Blaine</v>
      </c>
      <c r="M19" s="73"/>
      <c r="N19" s="72" t="str">
        <f>+N4</f>
        <v>Shoreview</v>
      </c>
      <c r="O19" s="73"/>
      <c r="P19" s="72" t="str">
        <f>+P4</f>
        <v>Brooklyn Center</v>
      </c>
      <c r="Q19" s="73"/>
      <c r="R19" s="74" t="str">
        <f>+R4</f>
        <v>Cambridge</v>
      </c>
      <c r="S19" s="75"/>
      <c r="T19" s="74" t="str">
        <f>+T4</f>
        <v>Rogers</v>
      </c>
    </row>
    <row r="20" spans="2:33" ht="23.8" customHeight="1">
      <c r="B20" s="85"/>
      <c r="C20" s="76"/>
      <c r="D20" s="77"/>
      <c r="E20" s="71"/>
      <c r="F20" s="62"/>
      <c r="G20" s="71"/>
      <c r="H20" s="78"/>
      <c r="I20" s="79"/>
      <c r="J20" s="80"/>
      <c r="K20" s="62"/>
      <c r="L20" s="62"/>
      <c r="M20" s="71"/>
      <c r="N20" s="62"/>
      <c r="O20" s="71"/>
      <c r="P20" s="62"/>
      <c r="Q20" s="79"/>
      <c r="R20" s="80"/>
      <c r="S20" s="76"/>
      <c r="T20" s="80"/>
    </row>
    <row r="21" spans="2:33" ht="23.8" customHeight="1">
      <c r="B21" s="119" t="s">
        <v>3</v>
      </c>
      <c r="C21" s="62"/>
      <c r="D21" s="81" t="s">
        <v>4</v>
      </c>
      <c r="E21" s="230">
        <f>+F7</f>
        <v>16000000</v>
      </c>
      <c r="F21" s="231"/>
      <c r="G21" s="230">
        <f>+H7</f>
        <v>4820000</v>
      </c>
      <c r="H21" s="231"/>
      <c r="I21" s="230">
        <v>9990000</v>
      </c>
      <c r="J21" s="231"/>
      <c r="K21" s="230">
        <f>+L7</f>
        <v>5200000</v>
      </c>
      <c r="L21" s="231"/>
      <c r="M21" s="230">
        <f>+N7</f>
        <v>6200000</v>
      </c>
      <c r="N21" s="231"/>
      <c r="O21" s="230">
        <f>+P7</f>
        <v>2600000</v>
      </c>
      <c r="P21" s="231"/>
      <c r="Q21" s="230">
        <f>+R7</f>
        <v>5000000</v>
      </c>
      <c r="R21" s="231"/>
      <c r="S21" s="230">
        <f>+T7</f>
        <v>3200000</v>
      </c>
      <c r="T21" s="231"/>
    </row>
    <row r="22" spans="2:33" ht="23.8" customHeight="1">
      <c r="B22" s="115" t="s">
        <v>47</v>
      </c>
      <c r="C22" s="62"/>
      <c r="D22" s="83">
        <v>137562</v>
      </c>
      <c r="E22" s="232">
        <f>F6</f>
        <v>212375</v>
      </c>
      <c r="F22" s="233"/>
      <c r="G22" s="232">
        <f>H6</f>
        <v>51276</v>
      </c>
      <c r="H22" s="233"/>
      <c r="I22" s="232">
        <f>J6</f>
        <v>121638</v>
      </c>
      <c r="J22" s="233"/>
      <c r="K22" s="232">
        <f>L6</f>
        <v>140684</v>
      </c>
      <c r="L22" s="233"/>
      <c r="M22" s="232">
        <f>N6</f>
        <v>67146</v>
      </c>
      <c r="N22" s="233"/>
      <c r="O22" s="232">
        <f>P6</f>
        <v>52920</v>
      </c>
      <c r="P22" s="233"/>
      <c r="Q22" s="232">
        <f>R6</f>
        <v>127082</v>
      </c>
      <c r="R22" s="233"/>
      <c r="S22" s="232">
        <f>T6</f>
        <v>139588</v>
      </c>
      <c r="T22" s="233"/>
    </row>
    <row r="23" spans="2:33" ht="23.8" customHeight="1">
      <c r="B23" s="116" t="s">
        <v>44</v>
      </c>
      <c r="C23" s="76"/>
      <c r="D23" s="84" t="s">
        <v>13</v>
      </c>
      <c r="E23" s="85"/>
      <c r="F23" s="86">
        <f>ROUND(E21/(F6),2)</f>
        <v>75.34</v>
      </c>
      <c r="G23" s="87"/>
      <c r="H23" s="88">
        <f>ROUND(G21/(H6),2)</f>
        <v>94</v>
      </c>
      <c r="I23" s="87"/>
      <c r="J23" s="88">
        <f>ROUND(I21/(J6),2)</f>
        <v>82.13</v>
      </c>
      <c r="K23" s="89"/>
      <c r="L23" s="86">
        <f>ROUND(K21/(L6),2)</f>
        <v>36.96</v>
      </c>
      <c r="M23" s="87"/>
      <c r="N23" s="86">
        <f>ROUND(M21/(N6),2)</f>
        <v>92.34</v>
      </c>
      <c r="O23" s="87"/>
      <c r="P23" s="86">
        <f>ROUND(O21/(P6),2)</f>
        <v>49.13</v>
      </c>
      <c r="Q23" s="87"/>
      <c r="R23" s="88">
        <f>ROUND(Q21/(R6),2)</f>
        <v>39.340000000000003</v>
      </c>
      <c r="S23" s="89"/>
      <c r="T23" s="88">
        <f>ROUND(S21/(T6),2)</f>
        <v>22.92</v>
      </c>
      <c r="U23" s="6" t="s">
        <v>14</v>
      </c>
      <c r="V23" s="23">
        <f>AVERAGE(F23:T23)</f>
        <v>61.52</v>
      </c>
    </row>
    <row r="24" spans="2:33" ht="23.8" customHeight="1">
      <c r="B24" s="119" t="s">
        <v>103</v>
      </c>
      <c r="C24" s="62"/>
      <c r="D24" s="90" t="s">
        <v>52</v>
      </c>
      <c r="E24" s="224" t="s">
        <v>52</v>
      </c>
      <c r="F24" s="225"/>
      <c r="G24" s="224" t="s">
        <v>52</v>
      </c>
      <c r="H24" s="225"/>
      <c r="I24" s="224" t="s">
        <v>93</v>
      </c>
      <c r="J24" s="225"/>
      <c r="K24" s="226" t="s">
        <v>105</v>
      </c>
      <c r="L24" s="225"/>
      <c r="M24" s="224" t="s">
        <v>52</v>
      </c>
      <c r="N24" s="225"/>
      <c r="O24" s="224" t="s">
        <v>52</v>
      </c>
      <c r="P24" s="225"/>
      <c r="Q24" s="224" t="s">
        <v>52</v>
      </c>
      <c r="R24" s="225"/>
      <c r="S24" s="226" t="s">
        <v>105</v>
      </c>
      <c r="T24" s="225"/>
      <c r="U24" s="6" t="s">
        <v>15</v>
      </c>
      <c r="V24" s="23">
        <f>MEDIAN(F23:T23)</f>
        <v>62.234999999999999</v>
      </c>
      <c r="X24" s="6" t="s">
        <v>34</v>
      </c>
    </row>
    <row r="25" spans="2:33" ht="23.8" customHeight="1">
      <c r="B25" s="115" t="s">
        <v>5</v>
      </c>
      <c r="C25" s="62"/>
      <c r="D25" s="90" t="s">
        <v>63</v>
      </c>
      <c r="E25" s="91">
        <v>0</v>
      </c>
      <c r="F25" s="92">
        <f>ROUND(1/(1-E25)*F23,2)-F23</f>
        <v>0</v>
      </c>
      <c r="G25" s="91">
        <v>0</v>
      </c>
      <c r="H25" s="93">
        <f>ROUND(1/(1-G25)*H23,2)-H23</f>
        <v>0</v>
      </c>
      <c r="I25" s="91">
        <v>0</v>
      </c>
      <c r="J25" s="93">
        <f>J23*I25</f>
        <v>0</v>
      </c>
      <c r="K25" s="94">
        <v>0.7</v>
      </c>
      <c r="L25" s="92">
        <f>K25*L23</f>
        <v>25.872</v>
      </c>
      <c r="M25" s="91">
        <v>0</v>
      </c>
      <c r="N25" s="92">
        <f>ROUND(1/(1-M25)*N23,2)-N23</f>
        <v>0</v>
      </c>
      <c r="O25" s="91">
        <v>0</v>
      </c>
      <c r="P25" s="92">
        <f>ROUND(1/(1-O25)*P23,2)-P23</f>
        <v>0</v>
      </c>
      <c r="Q25" s="91">
        <v>0</v>
      </c>
      <c r="R25" s="93">
        <f>Q25*R23</f>
        <v>0</v>
      </c>
      <c r="S25" s="94">
        <v>0.7</v>
      </c>
      <c r="T25" s="93">
        <f>T23*S25</f>
        <v>16.044</v>
      </c>
      <c r="U25" s="6" t="s">
        <v>16</v>
      </c>
      <c r="V25" s="6">
        <f>STDEV(F23:P23)</f>
        <v>23.501453572066573</v>
      </c>
      <c r="X25" s="23">
        <f>V27-V26</f>
        <v>71.08</v>
      </c>
    </row>
    <row r="26" spans="2:33" ht="23.8" customHeight="1">
      <c r="B26" s="116" t="s">
        <v>43</v>
      </c>
      <c r="C26" s="76"/>
      <c r="D26" s="77"/>
      <c r="E26" s="85"/>
      <c r="F26" s="86">
        <f>+F23+F25</f>
        <v>75.34</v>
      </c>
      <c r="G26" s="87"/>
      <c r="H26" s="88">
        <f>+H23+H25</f>
        <v>94</v>
      </c>
      <c r="I26" s="87"/>
      <c r="J26" s="88">
        <f>+J23+J25</f>
        <v>82.13</v>
      </c>
      <c r="K26" s="89"/>
      <c r="L26" s="86">
        <f>+L23+L25</f>
        <v>62.832000000000001</v>
      </c>
      <c r="M26" s="87"/>
      <c r="N26" s="86">
        <f>+N23+N25</f>
        <v>92.34</v>
      </c>
      <c r="O26" s="87"/>
      <c r="P26" s="86">
        <f>+P23+P25</f>
        <v>49.13</v>
      </c>
      <c r="Q26" s="87"/>
      <c r="R26" s="88">
        <f>+R23+R25</f>
        <v>39.340000000000003</v>
      </c>
      <c r="S26" s="89"/>
      <c r="T26" s="88">
        <f>+T23+T25</f>
        <v>38.963999999999999</v>
      </c>
      <c r="U26" s="6" t="s">
        <v>17</v>
      </c>
      <c r="V26" s="23">
        <f>MIN(F23:T23)</f>
        <v>22.92</v>
      </c>
    </row>
    <row r="27" spans="2:33" ht="23.8" customHeight="1">
      <c r="B27" s="119" t="s">
        <v>6</v>
      </c>
      <c r="C27" s="62"/>
      <c r="D27" s="90"/>
      <c r="E27" s="227" t="s">
        <v>36</v>
      </c>
      <c r="F27" s="228"/>
      <c r="G27" s="227" t="s">
        <v>36</v>
      </c>
      <c r="H27" s="228"/>
      <c r="I27" s="227" t="s">
        <v>36</v>
      </c>
      <c r="J27" s="228"/>
      <c r="K27" s="229" t="s">
        <v>36</v>
      </c>
      <c r="L27" s="229"/>
      <c r="M27" s="227" t="s">
        <v>36</v>
      </c>
      <c r="N27" s="229"/>
      <c r="O27" s="227" t="s">
        <v>79</v>
      </c>
      <c r="P27" s="229"/>
      <c r="Q27" s="227" t="s">
        <v>79</v>
      </c>
      <c r="R27" s="228"/>
      <c r="S27" s="229" t="s">
        <v>79</v>
      </c>
      <c r="T27" s="228"/>
      <c r="U27" s="6" t="s">
        <v>18</v>
      </c>
      <c r="V27" s="23">
        <f>MAX(F23:T23)</f>
        <v>94</v>
      </c>
      <c r="AA27" s="6" t="s">
        <v>98</v>
      </c>
    </row>
    <row r="28" spans="2:33" ht="23.8" customHeight="1">
      <c r="B28" s="115" t="s">
        <v>5</v>
      </c>
      <c r="C28" s="62"/>
      <c r="D28" s="143" t="s">
        <v>36</v>
      </c>
      <c r="E28" s="91">
        <f>F28/F26</f>
        <v>0</v>
      </c>
      <c r="F28" s="95">
        <v>0</v>
      </c>
      <c r="G28" s="91">
        <f>H28/H26</f>
        <v>0</v>
      </c>
      <c r="H28" s="96">
        <v>0</v>
      </c>
      <c r="I28" s="91">
        <f>J28/J26</f>
        <v>0</v>
      </c>
      <c r="J28" s="96">
        <v>0</v>
      </c>
      <c r="K28" s="94">
        <f>L28/L26</f>
        <v>0</v>
      </c>
      <c r="L28" s="95">
        <v>0</v>
      </c>
      <c r="M28" s="91">
        <v>0</v>
      </c>
      <c r="N28" s="95">
        <f>M28*N26</f>
        <v>0</v>
      </c>
      <c r="O28" s="91">
        <f>P28/P26</f>
        <v>0</v>
      </c>
      <c r="P28" s="95">
        <v>0</v>
      </c>
      <c r="Q28" s="91">
        <f>R28/R26</f>
        <v>0</v>
      </c>
      <c r="R28" s="96">
        <v>0</v>
      </c>
      <c r="S28" s="94">
        <f>T28/T26</f>
        <v>0</v>
      </c>
      <c r="T28" s="96">
        <v>0</v>
      </c>
      <c r="X28" s="23"/>
    </row>
    <row r="29" spans="2:33" ht="23.8" customHeight="1">
      <c r="B29" s="116" t="s">
        <v>43</v>
      </c>
      <c r="C29" s="76"/>
      <c r="D29" s="77"/>
      <c r="E29" s="85"/>
      <c r="F29" s="86">
        <f>+F26+F28</f>
        <v>75.34</v>
      </c>
      <c r="G29" s="87"/>
      <c r="H29" s="88">
        <f>+H26+H28</f>
        <v>94</v>
      </c>
      <c r="I29" s="87"/>
      <c r="J29" s="88">
        <f>+J26+J28</f>
        <v>82.13</v>
      </c>
      <c r="K29" s="89"/>
      <c r="L29" s="86">
        <f>+L26+L28</f>
        <v>62.832000000000001</v>
      </c>
      <c r="M29" s="87"/>
      <c r="N29" s="86">
        <f>+N26+N28</f>
        <v>92.34</v>
      </c>
      <c r="O29" s="87"/>
      <c r="P29" s="86">
        <f>+P26+P28</f>
        <v>49.13</v>
      </c>
      <c r="Q29" s="87"/>
      <c r="R29" s="88">
        <f>+R26+R28</f>
        <v>39.340000000000003</v>
      </c>
      <c r="S29" s="89"/>
      <c r="T29" s="88">
        <f>+T26+T28</f>
        <v>38.963999999999999</v>
      </c>
    </row>
    <row r="30" spans="2:33" ht="23.8" customHeight="1">
      <c r="B30" s="113" t="s">
        <v>7</v>
      </c>
      <c r="C30" s="82"/>
      <c r="D30" s="97"/>
      <c r="E30" s="217" t="s">
        <v>33</v>
      </c>
      <c r="F30" s="218"/>
      <c r="G30" s="217" t="s">
        <v>104</v>
      </c>
      <c r="H30" s="218"/>
      <c r="I30" s="217" t="s">
        <v>33</v>
      </c>
      <c r="J30" s="218"/>
      <c r="K30" s="219" t="s">
        <v>33</v>
      </c>
      <c r="L30" s="219"/>
      <c r="M30" s="217" t="s">
        <v>33</v>
      </c>
      <c r="N30" s="219"/>
      <c r="O30" s="217" t="s">
        <v>33</v>
      </c>
      <c r="P30" s="219"/>
      <c r="Q30" s="217" t="s">
        <v>33</v>
      </c>
      <c r="R30" s="218"/>
      <c r="S30" s="219" t="s">
        <v>33</v>
      </c>
      <c r="T30" s="218"/>
    </row>
    <row r="31" spans="2:33" ht="23.8" customHeight="1">
      <c r="B31" s="115" t="s">
        <v>5</v>
      </c>
      <c r="C31" s="62"/>
      <c r="D31" s="90" t="s">
        <v>11</v>
      </c>
      <c r="E31" s="91">
        <f>F31/F29</f>
        <v>0</v>
      </c>
      <c r="F31" s="96">
        <f>(+F8+F9)/(F6)</f>
        <v>0</v>
      </c>
      <c r="G31" s="91">
        <f>H31/H29</f>
        <v>-3.7344832222117104E-2</v>
      </c>
      <c r="H31" s="96">
        <f>-H8/H6</f>
        <v>-3.5104142288790077</v>
      </c>
      <c r="I31" s="91">
        <v>0</v>
      </c>
      <c r="J31" s="96">
        <f>I31*J29</f>
        <v>0</v>
      </c>
      <c r="K31" s="94">
        <v>0</v>
      </c>
      <c r="L31" s="95">
        <f>K31*L29</f>
        <v>0</v>
      </c>
      <c r="M31" s="91">
        <f>-N31/N29</f>
        <v>0.17741186805787765</v>
      </c>
      <c r="N31" s="95">
        <f>N9/N6</f>
        <v>-16.382211896464423</v>
      </c>
      <c r="O31" s="91">
        <v>0</v>
      </c>
      <c r="P31" s="95">
        <f>O31*P29</f>
        <v>0</v>
      </c>
      <c r="Q31" s="91">
        <v>0</v>
      </c>
      <c r="R31" s="96">
        <f>Q31*R29</f>
        <v>0</v>
      </c>
      <c r="S31" s="94">
        <v>0</v>
      </c>
      <c r="T31" s="96">
        <f>S31*T29</f>
        <v>0</v>
      </c>
    </row>
    <row r="32" spans="2:33" ht="23.8" customHeight="1">
      <c r="B32" s="116" t="s">
        <v>43</v>
      </c>
      <c r="C32" s="76"/>
      <c r="D32" s="77"/>
      <c r="E32" s="98">
        <v>0</v>
      </c>
      <c r="F32" s="86">
        <f>+F29+F31</f>
        <v>75.34</v>
      </c>
      <c r="G32" s="99"/>
      <c r="H32" s="88">
        <f>+H29+H31</f>
        <v>90.489585771120986</v>
      </c>
      <c r="I32" s="99"/>
      <c r="J32" s="88">
        <f>+J29+J31</f>
        <v>82.13</v>
      </c>
      <c r="K32" s="100"/>
      <c r="L32" s="86">
        <f>+L29+L31</f>
        <v>62.832000000000001</v>
      </c>
      <c r="M32" s="99"/>
      <c r="N32" s="86">
        <f>N29+N31</f>
        <v>75.957788103535577</v>
      </c>
      <c r="O32" s="99"/>
      <c r="P32" s="86">
        <f>+P29+P31</f>
        <v>49.13</v>
      </c>
      <c r="Q32" s="99"/>
      <c r="R32" s="88">
        <f>+R29+R31</f>
        <v>39.340000000000003</v>
      </c>
      <c r="S32" s="100"/>
      <c r="T32" s="88">
        <f>+T29+T31</f>
        <v>38.963999999999999</v>
      </c>
    </row>
    <row r="33" spans="2:32" ht="23.8" customHeight="1">
      <c r="B33" s="113" t="s">
        <v>8</v>
      </c>
      <c r="C33" s="82"/>
      <c r="D33" s="114"/>
      <c r="E33" s="101">
        <v>0.08</v>
      </c>
      <c r="F33" s="102">
        <f>+F5</f>
        <v>41143</v>
      </c>
      <c r="G33" s="101">
        <f>E33</f>
        <v>0.08</v>
      </c>
      <c r="H33" s="103">
        <f>+H5</f>
        <v>41060</v>
      </c>
      <c r="I33" s="101">
        <f>E33</f>
        <v>0.08</v>
      </c>
      <c r="J33" s="103">
        <f>+J5</f>
        <v>41060</v>
      </c>
      <c r="K33" s="104">
        <f>G33</f>
        <v>0.08</v>
      </c>
      <c r="L33" s="102">
        <f>+L5</f>
        <v>40702</v>
      </c>
      <c r="M33" s="101">
        <f>K33</f>
        <v>0.08</v>
      </c>
      <c r="N33" s="102">
        <f>+N5</f>
        <v>40968</v>
      </c>
      <c r="O33" s="101">
        <f>M33</f>
        <v>0.08</v>
      </c>
      <c r="P33" s="102">
        <f>+P5</f>
        <v>39903</v>
      </c>
      <c r="Q33" s="101">
        <f>K33</f>
        <v>0.08</v>
      </c>
      <c r="R33" s="103">
        <f>+R5</f>
        <v>39721</v>
      </c>
      <c r="S33" s="104">
        <f>M33</f>
        <v>0.08</v>
      </c>
      <c r="T33" s="103">
        <f>+T5</f>
        <v>39667</v>
      </c>
    </row>
    <row r="34" spans="2:32" ht="23.8" customHeight="1">
      <c r="B34" s="115" t="s">
        <v>5</v>
      </c>
      <c r="C34" s="62"/>
      <c r="D34" s="105">
        <v>41640</v>
      </c>
      <c r="E34" s="106">
        <f>($D$34-F5)/365.333*E33</f>
        <v>0.1088322160877884</v>
      </c>
      <c r="F34" s="93">
        <f>F32*E34</f>
        <v>8.1994191600539779</v>
      </c>
      <c r="G34" s="107">
        <f>($D$34-H5)/365.3333*G33</f>
        <v>0.12700731085833128</v>
      </c>
      <c r="H34" s="93">
        <f>H32*G34</f>
        <v>11.492838949474393</v>
      </c>
      <c r="I34" s="107">
        <f>($D$34-J5)/365.3333*I33</f>
        <v>0.12700731085833128</v>
      </c>
      <c r="J34" s="93">
        <f>J32*I34</f>
        <v>10.431110440794747</v>
      </c>
      <c r="K34" s="107">
        <f>($D$34-L5)/365.3333*K33</f>
        <v>0.20540147859502544</v>
      </c>
      <c r="L34" s="93">
        <f>L32*K34</f>
        <v>12.905785703082639</v>
      </c>
      <c r="M34" s="107">
        <f>($D$34-N5)/365.3333*M33</f>
        <v>0.14715329809792865</v>
      </c>
      <c r="N34" s="93">
        <f>N32*M34</f>
        <v>11.177439035658869</v>
      </c>
      <c r="O34" s="107">
        <f>($D$34-P5)/365.3333*O33</f>
        <v>0.38036499820848529</v>
      </c>
      <c r="P34" s="93">
        <f>P32*O34</f>
        <v>18.687332361982882</v>
      </c>
      <c r="Q34" s="107">
        <f>($D$34-R5)/365.3333*Q33</f>
        <v>0.42021901644334092</v>
      </c>
      <c r="R34" s="93">
        <f>R32*Q34</f>
        <v>16.531416106881032</v>
      </c>
      <c r="S34" s="107">
        <f>($D$34-T5)/365.3333*S33</f>
        <v>0.43204383504049587</v>
      </c>
      <c r="T34" s="93">
        <f>T32*S34</f>
        <v>16.834155988517882</v>
      </c>
      <c r="U34" s="6" t="s">
        <v>17</v>
      </c>
      <c r="V34" s="23">
        <f>MIN(F35:T35)</f>
        <v>55.798155988517877</v>
      </c>
    </row>
    <row r="35" spans="2:32" ht="23.8" customHeight="1">
      <c r="B35" s="116" t="s">
        <v>43</v>
      </c>
      <c r="C35" s="76"/>
      <c r="D35" s="108"/>
      <c r="E35" s="98"/>
      <c r="F35" s="88">
        <f>F34+F32</f>
        <v>83.539419160053981</v>
      </c>
      <c r="G35" s="99"/>
      <c r="H35" s="88">
        <f>H32+H34</f>
        <v>101.98242472059538</v>
      </c>
      <c r="I35" s="99"/>
      <c r="J35" s="88">
        <f>J32+J34</f>
        <v>92.561110440794749</v>
      </c>
      <c r="K35" s="100"/>
      <c r="L35" s="86">
        <f>L32+L34</f>
        <v>75.737785703082636</v>
      </c>
      <c r="M35" s="99"/>
      <c r="N35" s="86">
        <f>N32+N34</f>
        <v>87.135227139194441</v>
      </c>
      <c r="O35" s="99"/>
      <c r="P35" s="86">
        <f>P32+P34</f>
        <v>67.817332361982892</v>
      </c>
      <c r="Q35" s="99"/>
      <c r="R35" s="88">
        <f>R32+R34</f>
        <v>55.871416106881036</v>
      </c>
      <c r="S35" s="100"/>
      <c r="T35" s="88">
        <f>T32+T34</f>
        <v>55.798155988517877</v>
      </c>
      <c r="U35" s="6" t="s">
        <v>18</v>
      </c>
      <c r="V35" s="23">
        <f>MAX(F35:T35)</f>
        <v>101.98242472059538</v>
      </c>
      <c r="X35" s="28">
        <f>V35-V34</f>
        <v>46.184268732077498</v>
      </c>
      <c r="Z35" s="30">
        <f>(X35-X25)/X25</f>
        <v>-0.35024945509176281</v>
      </c>
    </row>
    <row r="36" spans="2:32" ht="23.8" customHeight="1">
      <c r="B36" s="220" t="s">
        <v>96</v>
      </c>
      <c r="C36" s="221"/>
      <c r="D36" s="221"/>
      <c r="E36" s="221"/>
      <c r="F36" s="221"/>
      <c r="G36" s="221"/>
      <c r="H36" s="221"/>
      <c r="I36" s="221"/>
      <c r="J36" s="221"/>
      <c r="K36" s="221"/>
      <c r="L36" s="221"/>
      <c r="M36" s="221"/>
      <c r="N36" s="221"/>
      <c r="O36" s="221"/>
      <c r="P36" s="221"/>
      <c r="Q36" s="221"/>
      <c r="R36" s="221"/>
      <c r="S36" s="221"/>
      <c r="T36" s="222"/>
      <c r="V36" s="23"/>
      <c r="Z36" s="6" t="s">
        <v>60</v>
      </c>
    </row>
    <row r="37" spans="2:32" s="8" customFormat="1" ht="23.8" customHeight="1">
      <c r="B37" s="115"/>
      <c r="C37" s="62"/>
      <c r="D37" s="90" t="s">
        <v>64</v>
      </c>
      <c r="E37" s="223" t="s">
        <v>64</v>
      </c>
      <c r="F37" s="210"/>
      <c r="G37" s="223" t="s">
        <v>64</v>
      </c>
      <c r="H37" s="210"/>
      <c r="I37" s="223" t="s">
        <v>64</v>
      </c>
      <c r="J37" s="211"/>
      <c r="K37" s="210" t="s">
        <v>64</v>
      </c>
      <c r="L37" s="210"/>
      <c r="M37" s="223" t="s">
        <v>64</v>
      </c>
      <c r="N37" s="210"/>
      <c r="O37" s="223" t="s">
        <v>64</v>
      </c>
      <c r="P37" s="210"/>
      <c r="Q37" s="223" t="s">
        <v>64</v>
      </c>
      <c r="R37" s="211"/>
      <c r="S37" s="210" t="s">
        <v>64</v>
      </c>
      <c r="T37" s="211"/>
      <c r="V37" s="6"/>
    </row>
    <row r="38" spans="2:32" ht="23.8" customHeight="1">
      <c r="B38" s="119" t="s">
        <v>51</v>
      </c>
      <c r="C38" s="62"/>
      <c r="D38" s="144"/>
      <c r="E38" s="145"/>
      <c r="F38" s="146" t="str">
        <f>IF(F39&gt;0,"Inferior",IF(F39=0,"Similar","Superior"))</f>
        <v>Similar</v>
      </c>
      <c r="G38" s="145"/>
      <c r="H38" s="146" t="str">
        <f>IF(H39&gt;0,"Inferior",IF(H39=0,"Similar","Superior"))</f>
        <v>Similar</v>
      </c>
      <c r="I38" s="145"/>
      <c r="J38" s="146" t="str">
        <f>IF(J39&gt;0,"Inferior",IF(J39=0,"Similar","Superior"))</f>
        <v>Similar</v>
      </c>
      <c r="K38" s="147"/>
      <c r="L38" s="148" t="str">
        <f>IF(L39&gt;0,"Inferior",IF(L39=0,"Similar","Superior"))</f>
        <v>Similar</v>
      </c>
      <c r="M38" s="145"/>
      <c r="N38" s="148" t="str">
        <f>IF(N39&gt;0,"Inferior",IF(N39=0,"Similar","Superior"))</f>
        <v>Similar</v>
      </c>
      <c r="O38" s="145"/>
      <c r="P38" s="148" t="str">
        <f>IF(P39&gt;0,"Inferior",IF(P39=0,"Similar","Superior"))</f>
        <v>Similar</v>
      </c>
      <c r="Q38" s="145"/>
      <c r="R38" s="146" t="str">
        <f>IF(R39&gt;0,"Inferior",IF(R39=0,"Similar","Superior"))</f>
        <v>Similar</v>
      </c>
      <c r="S38" s="147"/>
      <c r="T38" s="146" t="str">
        <f>IF(T39&gt;0,"Inferior",IF(T39=0,"Similar","Superior"))</f>
        <v>Similar</v>
      </c>
      <c r="V38" s="23"/>
      <c r="W38" s="6" t="s">
        <v>102</v>
      </c>
    </row>
    <row r="39" spans="2:32" ht="23.8" customHeight="1">
      <c r="B39" s="149" t="s">
        <v>5</v>
      </c>
      <c r="C39" s="76"/>
      <c r="D39" s="77"/>
      <c r="E39" s="150">
        <v>0</v>
      </c>
      <c r="F39" s="88">
        <v>0</v>
      </c>
      <c r="G39" s="150">
        <v>0</v>
      </c>
      <c r="H39" s="88">
        <f>W39</f>
        <v>0</v>
      </c>
      <c r="I39" s="150">
        <v>0</v>
      </c>
      <c r="J39" s="88">
        <v>0</v>
      </c>
      <c r="K39" s="151">
        <v>0</v>
      </c>
      <c r="L39" s="86">
        <f>W39</f>
        <v>0</v>
      </c>
      <c r="M39" s="150">
        <v>0</v>
      </c>
      <c r="N39" s="86">
        <v>0</v>
      </c>
      <c r="O39" s="150">
        <v>0</v>
      </c>
      <c r="P39" s="86">
        <f>W39</f>
        <v>0</v>
      </c>
      <c r="Q39" s="150">
        <v>0</v>
      </c>
      <c r="R39" s="88">
        <v>0</v>
      </c>
      <c r="S39" s="151">
        <v>0</v>
      </c>
      <c r="T39" s="88">
        <v>0</v>
      </c>
      <c r="V39" s="23"/>
      <c r="W39" s="29"/>
      <c r="Z39" s="6">
        <v>106</v>
      </c>
    </row>
    <row r="40" spans="2:32" ht="23.8" customHeight="1">
      <c r="B40" s="152"/>
      <c r="C40" s="82"/>
      <c r="D40" s="153" t="s">
        <v>109</v>
      </c>
      <c r="E40" s="154" t="s">
        <v>68</v>
      </c>
      <c r="F40" s="155" t="s">
        <v>61</v>
      </c>
      <c r="G40" s="156">
        <v>46</v>
      </c>
      <c r="H40" s="155" t="s">
        <v>61</v>
      </c>
      <c r="I40" s="156">
        <v>10</v>
      </c>
      <c r="J40" s="155" t="s">
        <v>61</v>
      </c>
      <c r="K40" s="157">
        <v>14</v>
      </c>
      <c r="L40" s="155" t="s">
        <v>61</v>
      </c>
      <c r="M40" s="156">
        <v>20</v>
      </c>
      <c r="N40" s="155" t="s">
        <v>61</v>
      </c>
      <c r="O40" s="156">
        <v>42</v>
      </c>
      <c r="P40" s="155" t="s">
        <v>61</v>
      </c>
      <c r="Q40" s="156">
        <v>3</v>
      </c>
      <c r="R40" s="155" t="s">
        <v>61</v>
      </c>
      <c r="S40" s="157">
        <v>6</v>
      </c>
      <c r="T40" s="155" t="s">
        <v>61</v>
      </c>
      <c r="V40" s="31">
        <v>13</v>
      </c>
      <c r="W40" s="61">
        <v>1.4999999999999999E-2</v>
      </c>
      <c r="X40" s="31" t="s">
        <v>58</v>
      </c>
      <c r="Z40" s="32">
        <v>5.77</v>
      </c>
    </row>
    <row r="41" spans="2:32" ht="23.8" customHeight="1">
      <c r="B41" s="119" t="s">
        <v>48</v>
      </c>
      <c r="C41" s="62"/>
      <c r="D41" s="158"/>
      <c r="E41" s="145"/>
      <c r="F41" s="146" t="str">
        <f>IF(F42&gt;0,"Inferior",IF(F42=0,"Similar","Superior"))</f>
        <v>Inferior</v>
      </c>
      <c r="G41" s="145"/>
      <c r="H41" s="146" t="str">
        <f>IF(H42&gt;0,"Inferior",IF(H42=0,"Similar","Superior"))</f>
        <v>Inferior</v>
      </c>
      <c r="I41" s="145"/>
      <c r="J41" s="146" t="str">
        <f>IF(J42&gt;0,"Inferior",IF(J42=0,"Similar","Superior"))</f>
        <v>Superior</v>
      </c>
      <c r="K41" s="147"/>
      <c r="L41" s="148" t="str">
        <f>IF(L42&gt;0,"Inferior",IF(L42=0,"Similar","Superior"))</f>
        <v>Inferior</v>
      </c>
      <c r="M41" s="145"/>
      <c r="N41" s="148" t="str">
        <f>IF(N42&gt;0,"Inferior",IF(N42=0,"Similar","Superior"))</f>
        <v>Inferior</v>
      </c>
      <c r="O41" s="145"/>
      <c r="P41" s="148" t="str">
        <f>IF(P42&gt;0,"Inferior",IF(P42=0,"Similar","Superior"))</f>
        <v>Inferior</v>
      </c>
      <c r="Q41" s="145"/>
      <c r="R41" s="146" t="str">
        <f>IF(R42&gt;0,"Inferior",IF(R42=0,"Similar","Superior"))</f>
        <v>Superior</v>
      </c>
      <c r="S41" s="147"/>
      <c r="T41" s="146" t="str">
        <f>IF(T42&gt;0,"Inferior",IF(T42=0,"Similar","Superior"))</f>
        <v>Superior</v>
      </c>
      <c r="W41" s="23"/>
    </row>
    <row r="42" spans="2:32" ht="23.8" customHeight="1">
      <c r="B42" s="149" t="s">
        <v>5</v>
      </c>
      <c r="C42" s="76"/>
      <c r="D42" s="159"/>
      <c r="E42" s="150">
        <f>(E40-V40)*W40</f>
        <v>0.435</v>
      </c>
      <c r="F42" s="88">
        <f>E42*F35</f>
        <v>36.339647334623479</v>
      </c>
      <c r="G42" s="151">
        <f>(G40-$V$40)*$W$40</f>
        <v>0.495</v>
      </c>
      <c r="H42" s="88">
        <f>G42*H35</f>
        <v>50.481300236694707</v>
      </c>
      <c r="I42" s="151">
        <f>(I40-$V$40)*$W$40</f>
        <v>-4.4999999999999998E-2</v>
      </c>
      <c r="J42" s="88">
        <f>I42*J35</f>
        <v>-4.1652499698357639</v>
      </c>
      <c r="K42" s="151">
        <f>(K40-$V$40)*$W$40</f>
        <v>1.4999999999999999E-2</v>
      </c>
      <c r="L42" s="88">
        <f>K42*L35</f>
        <v>1.1360667855462394</v>
      </c>
      <c r="M42" s="151">
        <f>(M40-$V$40)*$W$40</f>
        <v>0.105</v>
      </c>
      <c r="N42" s="88">
        <f>M42*N35</f>
        <v>9.1491988496154164</v>
      </c>
      <c r="O42" s="151">
        <f>(O40-$V$40)*$W$40</f>
        <v>0.435</v>
      </c>
      <c r="P42" s="88">
        <f>O42*P35</f>
        <v>29.500539577462558</v>
      </c>
      <c r="Q42" s="151">
        <f>(Q40-$V$40)*$W$40</f>
        <v>-0.15</v>
      </c>
      <c r="R42" s="88">
        <f>Q42*R35</f>
        <v>-8.3807124160321553</v>
      </c>
      <c r="S42" s="151">
        <f>(S40-$V$40)*$W$40</f>
        <v>-0.105</v>
      </c>
      <c r="T42" s="88">
        <f>S42*T35</f>
        <v>-5.8588063787943767</v>
      </c>
      <c r="AD42" s="6" t="s">
        <v>89</v>
      </c>
    </row>
    <row r="43" spans="2:32" ht="23.8" customHeight="1">
      <c r="B43" s="113"/>
      <c r="C43" s="82"/>
      <c r="D43" s="97"/>
      <c r="E43" s="212" t="s">
        <v>86</v>
      </c>
      <c r="F43" s="213"/>
      <c r="G43" s="214" t="s">
        <v>88</v>
      </c>
      <c r="H43" s="215"/>
      <c r="I43" s="214" t="s">
        <v>87</v>
      </c>
      <c r="J43" s="215"/>
      <c r="K43" s="216" t="s">
        <v>87</v>
      </c>
      <c r="L43" s="216"/>
      <c r="M43" s="214" t="s">
        <v>88</v>
      </c>
      <c r="N43" s="215"/>
      <c r="O43" s="214" t="s">
        <v>88</v>
      </c>
      <c r="P43" s="216"/>
      <c r="Q43" s="214" t="s">
        <v>87</v>
      </c>
      <c r="R43" s="215"/>
      <c r="S43" s="216" t="s">
        <v>87</v>
      </c>
      <c r="T43" s="215"/>
      <c r="W43" s="6">
        <v>0</v>
      </c>
      <c r="X43" s="31" t="s">
        <v>59</v>
      </c>
      <c r="Z43" s="32">
        <v>19.46</v>
      </c>
      <c r="AD43" s="6" t="s">
        <v>86</v>
      </c>
      <c r="AE43" s="6" t="s">
        <v>88</v>
      </c>
      <c r="AF43" s="6" t="s">
        <v>87</v>
      </c>
    </row>
    <row r="44" spans="2:32" ht="23.8" customHeight="1">
      <c r="B44" s="119" t="s">
        <v>85</v>
      </c>
      <c r="C44" s="62"/>
      <c r="D44" s="160" t="s">
        <v>87</v>
      </c>
      <c r="E44" s="145"/>
      <c r="F44" s="146" t="str">
        <f>IF(F45&gt;0,"Inferior",IF(F45=0,"Similar","Superior"))</f>
        <v>Superior</v>
      </c>
      <c r="G44" s="147"/>
      <c r="H44" s="146" t="str">
        <f>IF(H45&gt;0,"Inferior",IF(H45=0,"Similar","Superior"))</f>
        <v>Superior</v>
      </c>
      <c r="I44" s="145"/>
      <c r="J44" s="146" t="str">
        <f>IF(J45&gt;0,"Inferior",IF(J45=0,"Similar","Superior"))</f>
        <v>Similar</v>
      </c>
      <c r="K44" s="147"/>
      <c r="L44" s="148" t="str">
        <f>IF(L45&gt;0,"Inferior",IF(L45=0,"Similar","Superior"))</f>
        <v>Similar</v>
      </c>
      <c r="M44" s="145"/>
      <c r="N44" s="148" t="str">
        <f>IF(N45&gt;0,"Inferior",IF(N45=0,"Similar","Superior"))</f>
        <v>Superior</v>
      </c>
      <c r="O44" s="145"/>
      <c r="P44" s="148" t="str">
        <f>IF(P45&gt;0,"Inferior",IF(P45=0,"Similar","Superior"))</f>
        <v>Superior</v>
      </c>
      <c r="Q44" s="145"/>
      <c r="R44" s="146" t="str">
        <f>IF(R45&gt;0,"Inferior",IF(R45=0,"Similar","Superior"))</f>
        <v>Similar</v>
      </c>
      <c r="S44" s="147"/>
      <c r="T44" s="146" t="str">
        <f>IF(T45&gt;0,"Inferior",IF(T45=0,"Similar","Superior"))</f>
        <v>Similar</v>
      </c>
      <c r="AD44" s="6">
        <v>64.17</v>
      </c>
      <c r="AE44" s="6">
        <v>49.18</v>
      </c>
      <c r="AF44" s="6">
        <v>37.4</v>
      </c>
    </row>
    <row r="45" spans="2:32" ht="23.8" customHeight="1">
      <c r="B45" s="149" t="s">
        <v>5</v>
      </c>
      <c r="C45" s="76"/>
      <c r="D45" s="159"/>
      <c r="E45" s="150">
        <f>AD45</f>
        <v>-0.41717313386317595</v>
      </c>
      <c r="F45" s="88">
        <f>E45*F35</f>
        <v>-34.850401292109169</v>
      </c>
      <c r="G45" s="151">
        <f>AE45</f>
        <v>-0.23952826352175682</v>
      </c>
      <c r="H45" s="88">
        <f>G45*H35</f>
        <v>-24.427673103062496</v>
      </c>
      <c r="I45" s="150">
        <v>0</v>
      </c>
      <c r="J45" s="88">
        <v>0</v>
      </c>
      <c r="K45" s="151">
        <v>0</v>
      </c>
      <c r="L45" s="88">
        <v>0</v>
      </c>
      <c r="M45" s="151">
        <f>$AE$45</f>
        <v>-0.23952826352175682</v>
      </c>
      <c r="N45" s="88">
        <f>M45*N35</f>
        <v>-20.871349648225102</v>
      </c>
      <c r="O45" s="151">
        <f>$AE$45</f>
        <v>-0.23952826352175682</v>
      </c>
      <c r="P45" s="88">
        <f>O45*P35</f>
        <v>-16.244167857343605</v>
      </c>
      <c r="Q45" s="150">
        <v>0</v>
      </c>
      <c r="R45" s="88">
        <v>0</v>
      </c>
      <c r="S45" s="151">
        <v>0</v>
      </c>
      <c r="T45" s="88">
        <v>0</v>
      </c>
      <c r="AC45" s="6" t="s">
        <v>90</v>
      </c>
      <c r="AD45" s="30">
        <f>(AF44-AD44)/AD44</f>
        <v>-0.41717313386317595</v>
      </c>
      <c r="AE45" s="30">
        <f>(AF44-AE44)/AE44</f>
        <v>-0.23952826352175682</v>
      </c>
    </row>
    <row r="46" spans="2:32" ht="23.8" customHeight="1">
      <c r="B46" s="152"/>
      <c r="C46" s="82"/>
      <c r="D46" s="97"/>
      <c r="E46" s="205">
        <f>F6</f>
        <v>212375</v>
      </c>
      <c r="F46" s="209"/>
      <c r="G46" s="202">
        <f>H6</f>
        <v>51276</v>
      </c>
      <c r="H46" s="203"/>
      <c r="I46" s="202">
        <f>J6</f>
        <v>121638</v>
      </c>
      <c r="J46" s="203"/>
      <c r="K46" s="204">
        <f>L6</f>
        <v>140684</v>
      </c>
      <c r="L46" s="204"/>
      <c r="M46" s="202">
        <f>N6</f>
        <v>67146</v>
      </c>
      <c r="N46" s="203"/>
      <c r="O46" s="202">
        <f>P6</f>
        <v>52920</v>
      </c>
      <c r="P46" s="204"/>
      <c r="Q46" s="202">
        <f>R6</f>
        <v>127082</v>
      </c>
      <c r="R46" s="203"/>
      <c r="S46" s="204">
        <f>T6</f>
        <v>139588</v>
      </c>
      <c r="T46" s="203"/>
      <c r="W46" s="31">
        <v>-2</v>
      </c>
      <c r="X46" s="6" t="s">
        <v>69</v>
      </c>
    </row>
    <row r="47" spans="2:32" ht="23.8" customHeight="1">
      <c r="B47" s="119" t="s">
        <v>49</v>
      </c>
      <c r="C47" s="62"/>
      <c r="D47" s="158">
        <f>D22</f>
        <v>137562</v>
      </c>
      <c r="E47" s="145"/>
      <c r="F47" s="146" t="str">
        <f>IF(F48&gt;0,"Inferior",IF(F48=0,"Similar","Superior"))</f>
        <v>Inferior</v>
      </c>
      <c r="G47" s="145"/>
      <c r="H47" s="146" t="str">
        <f>IF(H48&gt;0,"Inferior",IF(H48=0,"Similar","Superior"))</f>
        <v>Superior</v>
      </c>
      <c r="I47" s="145"/>
      <c r="J47" s="146" t="str">
        <f>IF(J48&gt;0,"Inferior",IF(J48=0,"Similar","Superior"))</f>
        <v>Superior</v>
      </c>
      <c r="K47" s="147"/>
      <c r="L47" s="148" t="str">
        <f>IF(L48&gt;0,"Inferior",IF(L48=0,"Similar","Superior"))</f>
        <v>Inferior</v>
      </c>
      <c r="M47" s="145"/>
      <c r="N47" s="148" t="str">
        <f>IF(N48&gt;0,"Inferior",IF(N48=0,"Similar","Superior"))</f>
        <v>Superior</v>
      </c>
      <c r="O47" s="145"/>
      <c r="P47" s="148" t="str">
        <f>IF(P48&gt;0,"Inferior",IF(P48=0,"Similar","Superior"))</f>
        <v>Superior</v>
      </c>
      <c r="Q47" s="145"/>
      <c r="R47" s="146" t="str">
        <f>IF(R48&gt;0,"Inferior",IF(R48=0,"Similar","Superior"))</f>
        <v>Superior</v>
      </c>
      <c r="S47" s="147"/>
      <c r="T47" s="146" t="str">
        <f>IF(T48&gt;0,"Inferior",IF(T48=0,"Similar","Superior"))</f>
        <v>Inferior</v>
      </c>
    </row>
    <row r="48" spans="2:32" ht="23.8" customHeight="1">
      <c r="B48" s="149" t="s">
        <v>5</v>
      </c>
      <c r="C48" s="76"/>
      <c r="D48" s="159"/>
      <c r="E48" s="161">
        <f>F48/F35</f>
        <v>0.17910825991419704</v>
      </c>
      <c r="F48" s="88">
        <f>-(E46-$D$47)/10000*$W$46</f>
        <v>14.9626</v>
      </c>
      <c r="G48" s="161">
        <f>H48/H35</f>
        <v>-0.16921739257798707</v>
      </c>
      <c r="H48" s="88">
        <f>-(G46-$D$47)/10000*$W$46</f>
        <v>-17.257200000000001</v>
      </c>
      <c r="I48" s="161">
        <f>J48/J35</f>
        <v>-3.4407538812286691E-2</v>
      </c>
      <c r="J48" s="88">
        <f>-(I46-$D$47)/10000*$W$46</f>
        <v>-3.1848000000000001</v>
      </c>
      <c r="K48" s="161">
        <f>L48/L35</f>
        <v>8.244233630593005E-3</v>
      </c>
      <c r="L48" s="88">
        <f>-(K46-$D$47)/10000*$W$46</f>
        <v>0.62439999999999996</v>
      </c>
      <c r="M48" s="161">
        <f>N48/N35</f>
        <v>-0.16162464323990053</v>
      </c>
      <c r="N48" s="88">
        <f>-(M46-$D$47)/10000*$W$46</f>
        <v>-14.0832</v>
      </c>
      <c r="O48" s="161">
        <f>P48/P35</f>
        <v>-0.24961760379548251</v>
      </c>
      <c r="P48" s="88">
        <f>-(O46-$D$47)/10000*$W$46</f>
        <v>-16.9284</v>
      </c>
      <c r="Q48" s="161">
        <f>R48/R35</f>
        <v>-3.751471049150408E-2</v>
      </c>
      <c r="R48" s="88">
        <f>-(Q46-$D$47)/10000*$W$46</f>
        <v>-2.0960000000000001</v>
      </c>
      <c r="S48" s="161">
        <f>T48/T$35</f>
        <v>7.261888727709602E-3</v>
      </c>
      <c r="T48" s="88">
        <f>-(S46-$D$47)/10000*$W$46</f>
        <v>0.4052</v>
      </c>
      <c r="V48" s="33"/>
    </row>
    <row r="49" spans="2:33" ht="23.8" customHeight="1">
      <c r="B49" s="152"/>
      <c r="C49" s="82"/>
      <c r="D49" s="97" t="s">
        <v>40</v>
      </c>
      <c r="E49" s="205">
        <v>18900</v>
      </c>
      <c r="F49" s="206"/>
      <c r="G49" s="202">
        <v>88000</v>
      </c>
      <c r="H49" s="207"/>
      <c r="I49" s="202">
        <v>9500</v>
      </c>
      <c r="J49" s="207"/>
      <c r="K49" s="204">
        <v>47500</v>
      </c>
      <c r="L49" s="208"/>
      <c r="M49" s="202">
        <v>24100</v>
      </c>
      <c r="N49" s="203"/>
      <c r="O49" s="202">
        <v>2500</v>
      </c>
      <c r="P49" s="208"/>
      <c r="Q49" s="202">
        <v>11200</v>
      </c>
      <c r="R49" s="207"/>
      <c r="S49" s="204">
        <v>6800</v>
      </c>
      <c r="T49" s="207"/>
    </row>
    <row r="50" spans="2:33" ht="23.8" customHeight="1">
      <c r="B50" s="119" t="s">
        <v>94</v>
      </c>
      <c r="C50" s="62"/>
      <c r="D50" s="158">
        <v>35000</v>
      </c>
      <c r="E50" s="145"/>
      <c r="F50" s="146" t="str">
        <f>IF(F51&gt;0,"Inferior",IF(F51=0,"Similar","Superior"))</f>
        <v>Inferior</v>
      </c>
      <c r="G50" s="145"/>
      <c r="H50" s="146" t="str">
        <f>IF(H51&gt;0,"Inferior",IF(H51=0,"Similar","Superior"))</f>
        <v>Superior</v>
      </c>
      <c r="I50" s="145"/>
      <c r="J50" s="146" t="str">
        <f>IF(J51&gt;0,"Inferior",IF(J51=0,"Similar","Superior"))</f>
        <v>Inferior</v>
      </c>
      <c r="K50" s="147"/>
      <c r="L50" s="148" t="str">
        <f>IF(L51&gt;0,"Inferior",IF(L51=0,"Similar","Superior"))</f>
        <v>Superior</v>
      </c>
      <c r="M50" s="145"/>
      <c r="N50" s="148" t="str">
        <f>IF(N51&gt;0,"Inferior",IF(N51=0,"Similar","Superior"))</f>
        <v>Inferior</v>
      </c>
      <c r="O50" s="145"/>
      <c r="P50" s="148" t="str">
        <f>IF(P51&gt;0,"Inferior",IF(P51=0,"Similar","Superior"))</f>
        <v>Inferior</v>
      </c>
      <c r="Q50" s="145"/>
      <c r="R50" s="146" t="str">
        <f>IF(R51&gt;0,"Inferior",IF(R51=0,"Similar","Superior"))</f>
        <v>Inferior</v>
      </c>
      <c r="S50" s="147"/>
      <c r="T50" s="146" t="str">
        <f>IF(T51&gt;0,"Inferior",IF(T51=0,"Similar","Superior"))</f>
        <v>Inferior</v>
      </c>
      <c r="W50" s="6">
        <v>6</v>
      </c>
      <c r="X50" s="6" t="s">
        <v>70</v>
      </c>
    </row>
    <row r="51" spans="2:33" ht="23.8" customHeight="1">
      <c r="B51" s="149" t="s">
        <v>5</v>
      </c>
      <c r="C51" s="76"/>
      <c r="D51" s="159"/>
      <c r="E51" s="161">
        <f>F51/F$35</f>
        <v>0.11563403357512353</v>
      </c>
      <c r="F51" s="88">
        <f>($D$50-E49)/10000*$W$50</f>
        <v>9.66</v>
      </c>
      <c r="G51" s="161">
        <f>H51/H$35</f>
        <v>-0.31181843427554806</v>
      </c>
      <c r="H51" s="88">
        <f>($D$50-G49)/10000*$W$50</f>
        <v>-31.799999999999997</v>
      </c>
      <c r="I51" s="161">
        <f>J51/J$35</f>
        <v>0.16529620190529587</v>
      </c>
      <c r="J51" s="88">
        <f>($D$50-I49)/10000*$W$50</f>
        <v>15.299999999999999</v>
      </c>
      <c r="K51" s="161">
        <f>L51/L$35</f>
        <v>-9.9025868400780814E-2</v>
      </c>
      <c r="L51" s="88">
        <f>($D$50-K49)/10000*$W$50</f>
        <v>-7.5</v>
      </c>
      <c r="M51" s="161">
        <f>N51/N$35</f>
        <v>7.5055752015802488E-2</v>
      </c>
      <c r="N51" s="88">
        <f>($D$50-M49)/10000*$W$50</f>
        <v>6.5400000000000009</v>
      </c>
      <c r="O51" s="161">
        <f>P51/P$35</f>
        <v>0.28753711360860501</v>
      </c>
      <c r="P51" s="88">
        <f>($D$50-O49)/10000*$W$50</f>
        <v>19.5</v>
      </c>
      <c r="Q51" s="161">
        <f>R51/R$35</f>
        <v>0.25558686346310983</v>
      </c>
      <c r="R51" s="88">
        <f>($D$50-Q49)/10000*$W$50</f>
        <v>14.28</v>
      </c>
      <c r="S51" s="161">
        <f>T51/T$35</f>
        <v>0.30323582742558353</v>
      </c>
      <c r="T51" s="88">
        <f>($D$50-S49)/10000*$W$50</f>
        <v>16.919999999999998</v>
      </c>
      <c r="X51" s="34"/>
      <c r="Y51" s="34"/>
    </row>
    <row r="52" spans="2:33" ht="23.8" customHeight="1">
      <c r="B52" s="162"/>
      <c r="C52" s="163"/>
      <c r="D52" s="163"/>
      <c r="E52" s="164">
        <v>5</v>
      </c>
      <c r="F52" s="165"/>
      <c r="G52" s="166">
        <v>2</v>
      </c>
      <c r="H52" s="165"/>
      <c r="I52" s="164">
        <v>4</v>
      </c>
      <c r="J52" s="167"/>
      <c r="K52" s="168">
        <v>3</v>
      </c>
      <c r="L52" s="165"/>
      <c r="M52" s="166">
        <v>3</v>
      </c>
      <c r="N52" s="165"/>
      <c r="O52" s="166">
        <v>3</v>
      </c>
      <c r="P52" s="169"/>
      <c r="Q52" s="164">
        <v>2</v>
      </c>
      <c r="R52" s="167"/>
      <c r="S52" s="168">
        <v>3</v>
      </c>
      <c r="T52" s="167"/>
    </row>
    <row r="53" spans="2:33" ht="23.8" customHeight="1">
      <c r="B53" s="170" t="s">
        <v>12</v>
      </c>
      <c r="C53" s="163"/>
      <c r="D53" s="163">
        <v>4</v>
      </c>
      <c r="E53" s="171"/>
      <c r="F53" s="146" t="str">
        <f>IF(F54&gt;0,"Inferior",IF(F54=0,"Similar","Superior"))</f>
        <v>Superior</v>
      </c>
      <c r="G53" s="172"/>
      <c r="H53" s="146" t="str">
        <f>IF(H54&gt;0,"Inferior",IF(H54=0,"Similar","Superior"))</f>
        <v>Inferior</v>
      </c>
      <c r="I53" s="171"/>
      <c r="J53" s="146" t="str">
        <f>IF(J54&gt;0,"Inferior",IF(J54=0,"Similar","Superior"))</f>
        <v>Similar</v>
      </c>
      <c r="K53" s="172"/>
      <c r="L53" s="146" t="str">
        <f>IF(L54&gt;0,"Inferior",IF(L54=0,"Similar","Superior"))</f>
        <v>Inferior</v>
      </c>
      <c r="M53" s="172"/>
      <c r="N53" s="146" t="str">
        <f>IF(N54&gt;0,"Inferior",IF(N54=0,"Similar","Superior"))</f>
        <v>Inferior</v>
      </c>
      <c r="O53" s="172"/>
      <c r="P53" s="146" t="str">
        <f>IF(P54&gt;0,"Inferior",IF(P54=0,"Similar","Superior"))</f>
        <v>Inferior</v>
      </c>
      <c r="Q53" s="171"/>
      <c r="R53" s="146" t="str">
        <f>IF(R54&gt;0,"Inferior",IF(R54=0,"Similar","Superior"))</f>
        <v>Inferior</v>
      </c>
      <c r="S53" s="172"/>
      <c r="T53" s="146" t="str">
        <f>IF(T54&gt;0,"Inferior",IF(T54=0,"Similar","Superior"))</f>
        <v>Inferior</v>
      </c>
      <c r="W53" s="6">
        <v>14</v>
      </c>
      <c r="X53" s="6" t="s">
        <v>59</v>
      </c>
    </row>
    <row r="54" spans="2:33" ht="23.8" customHeight="1" thickBot="1">
      <c r="B54" s="173" t="s">
        <v>5</v>
      </c>
      <c r="C54" s="174"/>
      <c r="D54" s="175"/>
      <c r="E54" s="161">
        <f>F54/F$35</f>
        <v>-0.16758555590597612</v>
      </c>
      <c r="F54" s="176">
        <f>($D$53-E52)*$W$53</f>
        <v>-14</v>
      </c>
      <c r="G54" s="161">
        <f>H54/H$35</f>
        <v>0.27455711194073418</v>
      </c>
      <c r="H54" s="176">
        <f>($D$53-G52)*$W$53</f>
        <v>28</v>
      </c>
      <c r="I54" s="161">
        <f>J54/J$35</f>
        <v>0</v>
      </c>
      <c r="J54" s="176">
        <f>($D$53-I52)*$W$53</f>
        <v>0</v>
      </c>
      <c r="K54" s="161">
        <f>L54/L$35</f>
        <v>0.18484828768145753</v>
      </c>
      <c r="L54" s="176">
        <f>($D$53-K52)*$W$53</f>
        <v>14</v>
      </c>
      <c r="M54" s="161">
        <f>N54/N$35</f>
        <v>0.16066980553841509</v>
      </c>
      <c r="N54" s="176">
        <f>($D$53-M52)*$W$53</f>
        <v>14</v>
      </c>
      <c r="O54" s="161">
        <f>P54/P$35</f>
        <v>0.20643690207797283</v>
      </c>
      <c r="P54" s="176">
        <f>($D$53-O52)*$W$53</f>
        <v>14</v>
      </c>
      <c r="Q54" s="161">
        <f>R54/R$35</f>
        <v>0.50115071267276445</v>
      </c>
      <c r="R54" s="176">
        <f>($D$53-Q52)*$W$53</f>
        <v>28</v>
      </c>
      <c r="S54" s="161">
        <f>T54/T$35</f>
        <v>0.25090434893369801</v>
      </c>
      <c r="T54" s="176">
        <f>($D$53-S52)*$W$53</f>
        <v>14</v>
      </c>
    </row>
    <row r="55" spans="2:33" s="34" customFormat="1" ht="26.15" customHeight="1">
      <c r="B55" s="177" t="s">
        <v>42</v>
      </c>
      <c r="C55" s="178"/>
      <c r="D55" s="179"/>
      <c r="E55" s="180"/>
      <c r="F55" s="181">
        <f>F35+F39+F42+F54+F45+F51+F48</f>
        <v>95.651265202568283</v>
      </c>
      <c r="G55" s="182"/>
      <c r="H55" s="181">
        <f>H35+H39+H42+H54+H45+H51+H48</f>
        <v>106.9788518542276</v>
      </c>
      <c r="I55" s="182"/>
      <c r="J55" s="181">
        <f>J35+J39+J42+J54+J45+J51+J48</f>
        <v>100.51106047095898</v>
      </c>
      <c r="K55" s="183"/>
      <c r="L55" s="184">
        <f>L35+L39+L42+L54+L45+L51+L48</f>
        <v>83.998252488628864</v>
      </c>
      <c r="M55" s="182"/>
      <c r="N55" s="184">
        <f>N35+N39+N42+N54+N45+N51+N48</f>
        <v>81.869876340584753</v>
      </c>
      <c r="O55" s="182"/>
      <c r="P55" s="184">
        <f>P35+P39+P42+P54+P45+P51+P48</f>
        <v>97.645304082101845</v>
      </c>
      <c r="Q55" s="182"/>
      <c r="R55" s="181">
        <f>R35+R39+R42+R54+R45+R51+R48</f>
        <v>87.674703690848872</v>
      </c>
      <c r="S55" s="183"/>
      <c r="T55" s="181">
        <f>T35+T39+T42+T54+T45+T51+T48</f>
        <v>81.264549609723488</v>
      </c>
      <c r="U55" s="34" t="s">
        <v>14</v>
      </c>
      <c r="V55" s="28">
        <f>AVERAGE(F55:T55)</f>
        <v>91.949232967455345</v>
      </c>
      <c r="X55" s="6"/>
      <c r="Y55" s="6"/>
      <c r="AE55" s="6"/>
      <c r="AF55" s="6"/>
      <c r="AG55" s="6"/>
    </row>
    <row r="56" spans="2:33" s="120" customFormat="1" ht="26.15" customHeight="1">
      <c r="B56" s="121"/>
      <c r="C56" s="45"/>
      <c r="D56" s="122"/>
      <c r="E56" s="125" t="s">
        <v>19</v>
      </c>
      <c r="F56" s="126">
        <f>(F$25+F$28+F$31+F$34+F$39+F$42+F$54+F51+F48+F45)/F$23</f>
        <v>0.26959470669721641</v>
      </c>
      <c r="G56" s="126"/>
      <c r="H56" s="126">
        <f>(H$25+H$28+H$31+H$34+H$39+H$42+H$54+H51+H48+H45)/H$23</f>
        <v>0.13807289206625115</v>
      </c>
      <c r="I56" s="126"/>
      <c r="J56" s="130">
        <f>(J$25+J$28+J$31+J$34+J$39+J$42+J$54+J51+J48+J45)/J$23</f>
        <v>0.22380446208400076</v>
      </c>
      <c r="K56" s="126"/>
      <c r="L56" s="126">
        <f>(L$25+L$28+L$31+L$34+L$39+L$42+L$54+L51+L48+L45)/L$23</f>
        <v>1.2726799915754567</v>
      </c>
      <c r="M56" s="126"/>
      <c r="N56" s="130">
        <f>(N$25+N$28+N$31+N$34+N$39+N$42+N$54+N51+N48+N45)/N$23</f>
        <v>-0.11338665431465499</v>
      </c>
      <c r="O56" s="126"/>
      <c r="P56" s="126">
        <f>(P$25+P$28+P$31+P$34+P$39+P$42+P$54+P51+P48+P45)/P$23</f>
        <v>0.98748837944436885</v>
      </c>
      <c r="Q56" s="126"/>
      <c r="R56" s="126">
        <f>(R$25+R$28+R$31+R$34+R$39+R$42+R$54+R51+R48+R45)/R$23</f>
        <v>1.2286401548258485</v>
      </c>
      <c r="S56" s="126"/>
      <c r="T56" s="132">
        <f>(T$25+T$28+T$31+T$34+T$39+T$42+T$54+T51+T48+T45)/T$23</f>
        <v>2.5455737177017235</v>
      </c>
      <c r="V56" s="123"/>
      <c r="X56" s="124"/>
      <c r="Y56" s="124"/>
      <c r="AE56" s="124"/>
      <c r="AF56" s="124"/>
      <c r="AG56" s="124"/>
    </row>
    <row r="57" spans="2:33" s="120" customFormat="1" ht="26.15" customHeight="1">
      <c r="B57" s="121"/>
      <c r="C57" s="45"/>
      <c r="D57" s="122"/>
      <c r="E57" s="127" t="s">
        <v>20</v>
      </c>
      <c r="F57" s="128">
        <f>(ABS(F$25)+ABS(F$28)+ABS(F$31)+ABS(F$34)+ABS(F$39)+ABS(F$42)+ABS(F$54)+ABS(F$51)+ABS(F$45)+ABS(F$48)+ABS(F$51))/F$23</f>
        <v>1.6946119961081312</v>
      </c>
      <c r="G57" s="129"/>
      <c r="H57" s="128">
        <f>(ABS(H$25)+ABS(H$28)+ABS(H$31)+ABS(H$34)+ABS(H$39)+ABS(H$42)+ABS(H$54)+ABS(H$51)+ABS(H$45)+ABS(H$48)+ABS(H$51))/H$23</f>
        <v>2.1145683672139426</v>
      </c>
      <c r="I57" s="129"/>
      <c r="J57" s="131">
        <f>(ABS(J$25)+ABS(J$28)+ABS(J$31)+ABS(J$34)+ABS(J$39)+ABS(J$42)+ABS(J$54)+ABS(J$51)+ABS(J$45)+ABS(J$48)+ABS(J$51))/J$23</f>
        <v>0.58908024364581169</v>
      </c>
      <c r="K57" s="129"/>
      <c r="L57" s="128">
        <f>(ABS(L$25)+ABS(L$28)+ABS(L$31)+ABS(L$34)+ABS(L$39)+ABS(L$42)+ABS(L$54)+ABS(L$51)+ABS(L$45)+ABS(L$48)+ABS(L$51))/L$23</f>
        <v>1.8814462253416906</v>
      </c>
      <c r="M57" s="129"/>
      <c r="N57" s="131">
        <f>(ABS(N$25)+ABS(N$28)+ABS(N$31)+ABS(N$34)+ABS(N$39)+ABS(N$42)+ABS(N$54)+ABS(N$51)+ABS(N$45)+ABS(N$48)+ABS(N$51))/N$23</f>
        <v>1.0693458894299741</v>
      </c>
      <c r="O57" s="129"/>
      <c r="P57" s="128">
        <f>(ABS(P$25)+ABS(P$28)+ABS(P$31)+ABS(P$34)+ABS(P$39)+ABS(P$42)+ABS(P$54)+ABS(P$51)+ABS(P$45)+ABS(P$48)+ABS(P$51))/P$23</f>
        <v>2.7347942152816818</v>
      </c>
      <c r="Q57" s="129"/>
      <c r="R57" s="128">
        <f>(ABS(R$25)+ABS(R$28)+ABS(R$31)+ABS(R$34)+ABS(R$39)+ABS(R$42)+ABS(R$54)+ABS(R$51)+ABS(R$45)+ABS(R$48)+ABS(R$51))/R$23</f>
        <v>2.1242533940750681</v>
      </c>
      <c r="S57" s="129"/>
      <c r="T57" s="133">
        <f>(ABS(T$25)+ABS(T$28)+ABS(T$31)+ABS(T$34)+ABS(T$39)+ABS(T$42)+ABS(T$54)+ABS(T$51)+ABS(T$45)+ABS(T$48)+ABS(T$51))/T$23</f>
        <v>3.7950332620991385</v>
      </c>
      <c r="V57" s="123"/>
      <c r="X57" s="124"/>
      <c r="Y57" s="124"/>
      <c r="AE57" s="124"/>
      <c r="AF57" s="124"/>
      <c r="AG57" s="124"/>
    </row>
    <row r="58" spans="2:33" s="120" customFormat="1" ht="26.15" customHeight="1">
      <c r="B58" s="121"/>
      <c r="C58" s="45"/>
      <c r="D58" s="122"/>
      <c r="E58" s="1"/>
      <c r="F58" s="39"/>
      <c r="G58" s="38"/>
      <c r="H58" s="39"/>
      <c r="I58" s="38"/>
      <c r="J58" s="39"/>
      <c r="K58" s="38"/>
      <c r="L58" s="39"/>
      <c r="M58" s="38"/>
      <c r="N58" s="39"/>
      <c r="O58" s="38"/>
      <c r="P58" s="39"/>
      <c r="Q58" s="38"/>
      <c r="R58" s="39"/>
      <c r="S58" s="38"/>
      <c r="T58" s="39"/>
      <c r="V58" s="123"/>
      <c r="X58" s="124"/>
      <c r="Y58" s="124"/>
      <c r="AE58" s="124"/>
      <c r="AF58" s="124"/>
      <c r="AG58" s="124"/>
    </row>
    <row r="59" spans="2:33">
      <c r="B59" s="192" t="str">
        <f>B18</f>
        <v>3205 Vicksburg Ln  N</v>
      </c>
      <c r="C59" s="193"/>
      <c r="D59" s="194"/>
      <c r="E59" s="2"/>
      <c r="F59" s="39"/>
      <c r="G59" s="38"/>
      <c r="H59" s="39"/>
      <c r="I59" s="38"/>
      <c r="J59" s="39"/>
      <c r="K59" s="38"/>
      <c r="L59" s="39"/>
      <c r="M59" s="38"/>
      <c r="N59" s="39"/>
      <c r="O59" s="38"/>
      <c r="P59" s="39"/>
      <c r="Q59" s="38"/>
      <c r="R59" s="39"/>
      <c r="S59" s="38"/>
      <c r="T59" s="39"/>
      <c r="U59" s="6" t="s">
        <v>15</v>
      </c>
      <c r="V59" s="28">
        <f>MEDIAN(F55:T55)</f>
        <v>91.662984446708577</v>
      </c>
      <c r="X59" s="6" t="s">
        <v>34</v>
      </c>
    </row>
    <row r="60" spans="2:33" ht="18.45" thickBot="1">
      <c r="B60" s="195"/>
      <c r="C60" s="196"/>
      <c r="D60" s="197"/>
      <c r="E60" s="37" t="s">
        <v>100</v>
      </c>
      <c r="F60" s="112">
        <f>F35+F39+F42+F45+F48+F51</f>
        <v>109.65126520256828</v>
      </c>
      <c r="G60" s="37"/>
      <c r="H60" s="112">
        <f>H35+H39+H42+H45+H48+H51</f>
        <v>78.978851854227599</v>
      </c>
      <c r="I60" s="37"/>
      <c r="J60" s="112">
        <f>J35+J39+J42+J45+J48+J51</f>
        <v>100.51106047095898</v>
      </c>
      <c r="K60" s="37"/>
      <c r="L60" s="112">
        <f>L35+L39+L42+L45+L48+L51</f>
        <v>69.998252488628864</v>
      </c>
      <c r="M60" s="38"/>
      <c r="N60" s="112">
        <f>N35+N39+N42+N45+N48+N51</f>
        <v>67.869876340584753</v>
      </c>
      <c r="O60" s="38"/>
      <c r="P60" s="112">
        <f>P35+P39+P42+P45+P48+P51</f>
        <v>83.645304082101845</v>
      </c>
      <c r="Q60" s="38"/>
      <c r="R60" s="112">
        <f>R35+R39+R42+R45+R48+R51</f>
        <v>59.674703690848887</v>
      </c>
      <c r="S60" s="38"/>
      <c r="T60" s="112">
        <f>T35+T39+T42+T45+T48+T51</f>
        <v>67.264549609723502</v>
      </c>
      <c r="U60" s="6" t="s">
        <v>16</v>
      </c>
      <c r="V60" s="28">
        <f>STDEV(F55:T55)</f>
        <v>9.5811584631517892</v>
      </c>
      <c r="X60" s="28">
        <f>V62-V61</f>
        <v>25.714302244504111</v>
      </c>
    </row>
    <row r="61" spans="2:33">
      <c r="B61" s="134"/>
      <c r="C61" s="2"/>
      <c r="D61" s="135"/>
      <c r="E61" s="2"/>
      <c r="F61" s="39"/>
      <c r="G61" s="38"/>
      <c r="H61" s="39"/>
      <c r="I61" s="38"/>
      <c r="J61" s="39"/>
      <c r="K61" s="38"/>
      <c r="L61" s="39"/>
      <c r="M61" s="38"/>
      <c r="N61" s="39"/>
      <c r="O61" s="38"/>
      <c r="P61" s="39"/>
      <c r="Q61" s="38"/>
      <c r="R61" s="39"/>
      <c r="S61" s="38"/>
      <c r="T61" s="39"/>
      <c r="U61" s="6" t="s">
        <v>17</v>
      </c>
      <c r="V61" s="28">
        <f>MIN(F55:T55)</f>
        <v>81.264549609723488</v>
      </c>
      <c r="X61" s="30">
        <f>(X60-X25)/X25</f>
        <v>-0.63823435221575531</v>
      </c>
    </row>
    <row r="62" spans="2:33">
      <c r="B62" s="134" t="s">
        <v>38</v>
      </c>
      <c r="C62" s="2"/>
      <c r="D62" s="136">
        <f>MIN(F55:T55)</f>
        <v>81.264549609723488</v>
      </c>
      <c r="E62" s="2"/>
      <c r="F62" s="41"/>
      <c r="G62" s="38"/>
      <c r="H62" s="39"/>
      <c r="I62" s="38"/>
      <c r="J62" s="39"/>
      <c r="K62" s="38"/>
      <c r="L62" s="39"/>
      <c r="M62" s="38"/>
      <c r="N62" s="39"/>
      <c r="O62" s="38"/>
      <c r="P62" s="39"/>
      <c r="Q62" s="38"/>
      <c r="R62" s="39"/>
      <c r="S62" s="38"/>
      <c r="T62" s="39"/>
      <c r="U62" s="6" t="s">
        <v>18</v>
      </c>
      <c r="V62" s="28">
        <f>MAX(F55:T55)</f>
        <v>106.9788518542276</v>
      </c>
    </row>
    <row r="63" spans="2:33">
      <c r="B63" s="134" t="s">
        <v>37</v>
      </c>
      <c r="C63" s="2"/>
      <c r="D63" s="136">
        <f>MAX(F55:T55)</f>
        <v>106.9788518542276</v>
      </c>
      <c r="E63" s="43"/>
      <c r="F63" s="26"/>
      <c r="G63" s="42"/>
      <c r="H63" s="38"/>
      <c r="I63" s="43"/>
      <c r="J63" s="26"/>
      <c r="K63" s="43"/>
      <c r="L63" s="26"/>
      <c r="M63" s="43"/>
      <c r="N63" s="26"/>
      <c r="O63" s="43"/>
      <c r="P63" s="26"/>
      <c r="Q63" s="43"/>
      <c r="R63" s="26"/>
      <c r="S63" s="43"/>
      <c r="T63" s="26"/>
      <c r="V63" s="40"/>
      <c r="W63" s="6" t="s">
        <v>35</v>
      </c>
    </row>
    <row r="64" spans="2:33">
      <c r="B64" s="134" t="s">
        <v>39</v>
      </c>
      <c r="C64" s="2"/>
      <c r="D64" s="136">
        <f>V59</f>
        <v>91.662984446708577</v>
      </c>
      <c r="E64" s="38"/>
      <c r="F64" s="38"/>
      <c r="G64" s="44"/>
      <c r="H64" s="38"/>
      <c r="I64" s="26"/>
      <c r="J64" s="38"/>
      <c r="K64" s="26"/>
      <c r="L64" s="38"/>
      <c r="M64" s="26"/>
      <c r="N64" s="38"/>
      <c r="O64" s="26"/>
      <c r="P64" s="38"/>
      <c r="Q64" s="26"/>
      <c r="R64" s="38"/>
      <c r="S64" s="26"/>
      <c r="T64" s="38"/>
      <c r="V64" s="40"/>
      <c r="X64" s="30"/>
    </row>
    <row r="65" spans="1:25">
      <c r="B65" s="134" t="s">
        <v>10</v>
      </c>
      <c r="C65" s="2"/>
      <c r="D65" s="136">
        <f>V55</f>
        <v>91.949232967455345</v>
      </c>
      <c r="E65" s="45"/>
      <c r="F65" s="45"/>
      <c r="G65" s="46"/>
      <c r="H65" s="45"/>
      <c r="I65" s="46"/>
      <c r="J65" s="45"/>
      <c r="K65" s="46"/>
      <c r="L65" s="45"/>
      <c r="M65" s="46"/>
      <c r="N65" s="45"/>
      <c r="O65" s="46"/>
      <c r="P65" s="45"/>
      <c r="Q65" s="46"/>
      <c r="R65" s="45"/>
      <c r="S65" s="46"/>
      <c r="T65" s="45"/>
      <c r="V65" s="40"/>
    </row>
    <row r="66" spans="1:25" ht="6" customHeight="1">
      <c r="B66" s="134"/>
      <c r="C66" s="2"/>
      <c r="D66" s="135"/>
      <c r="E66" s="45"/>
      <c r="F66" s="45"/>
      <c r="G66" s="46"/>
      <c r="H66" s="45"/>
      <c r="I66" s="46"/>
      <c r="J66" s="45"/>
      <c r="K66" s="46"/>
      <c r="L66" s="45"/>
      <c r="M66" s="46"/>
      <c r="N66" s="45"/>
      <c r="O66" s="46"/>
      <c r="P66" s="45"/>
      <c r="Q66" s="46"/>
      <c r="R66" s="45"/>
      <c r="S66" s="46"/>
      <c r="T66" s="45"/>
      <c r="U66" s="34"/>
      <c r="V66" s="34"/>
    </row>
    <row r="67" spans="1:25">
      <c r="B67" s="188" t="s">
        <v>45</v>
      </c>
      <c r="C67" s="189"/>
      <c r="D67" s="190">
        <v>100</v>
      </c>
      <c r="E67" s="38"/>
      <c r="F67" s="38"/>
      <c r="G67" s="38"/>
      <c r="H67" s="38"/>
      <c r="I67" s="38"/>
      <c r="J67" s="38"/>
      <c r="K67" s="38"/>
      <c r="L67" s="38"/>
      <c r="M67" s="38"/>
      <c r="N67" s="38"/>
      <c r="O67" s="38"/>
      <c r="P67" s="38"/>
      <c r="Q67" s="38"/>
      <c r="R67" s="38"/>
      <c r="S67" s="38"/>
      <c r="T67" s="38"/>
      <c r="X67" s="34"/>
      <c r="Y67" s="34"/>
    </row>
    <row r="68" spans="1:25">
      <c r="B68" s="137" t="s">
        <v>46</v>
      </c>
      <c r="C68" s="2"/>
      <c r="D68" s="138">
        <f>D47</f>
        <v>137562</v>
      </c>
      <c r="E68" s="38"/>
      <c r="F68" s="38"/>
      <c r="G68" s="38"/>
      <c r="H68" s="38"/>
      <c r="I68" s="38"/>
      <c r="J68" s="38"/>
      <c r="K68" s="38"/>
      <c r="L68" s="38"/>
      <c r="M68" s="38"/>
      <c r="N68" s="38"/>
      <c r="O68" s="38"/>
      <c r="P68" s="38"/>
      <c r="Q68" s="38"/>
      <c r="R68" s="38"/>
      <c r="S68" s="38"/>
      <c r="T68" s="38"/>
      <c r="X68" s="34"/>
      <c r="Y68" s="34"/>
    </row>
    <row r="69" spans="1:25" s="34" customFormat="1" ht="18.45" thickBot="1">
      <c r="B69" s="139" t="s">
        <v>50</v>
      </c>
      <c r="C69" s="3"/>
      <c r="D69" s="140">
        <f>+D67*D68</f>
        <v>13756200</v>
      </c>
      <c r="E69" s="49"/>
      <c r="F69" s="49"/>
      <c r="G69" s="49"/>
      <c r="H69" s="49"/>
      <c r="I69" s="49"/>
      <c r="J69" s="49"/>
      <c r="K69" s="49"/>
      <c r="L69" s="49"/>
      <c r="M69" s="49"/>
      <c r="N69" s="49"/>
      <c r="O69" s="49"/>
      <c r="P69" s="49"/>
      <c r="Q69" s="49"/>
      <c r="R69" s="49"/>
      <c r="S69" s="49"/>
      <c r="T69" s="49"/>
      <c r="U69" s="6"/>
      <c r="V69" s="6"/>
    </row>
    <row r="70" spans="1:25" s="34" customFormat="1" ht="6" customHeight="1">
      <c r="B70" s="139"/>
      <c r="C70" s="4"/>
      <c r="D70" s="140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47"/>
      <c r="V70" s="6"/>
      <c r="X70" s="6"/>
      <c r="Y70" s="6"/>
    </row>
    <row r="71" spans="1:25">
      <c r="A71" s="48"/>
      <c r="B71" s="141" t="s">
        <v>101</v>
      </c>
      <c r="C71" s="5"/>
      <c r="D71" s="142"/>
      <c r="E71" s="52"/>
      <c r="G71" s="52"/>
      <c r="I71" s="52"/>
      <c r="K71" s="52"/>
      <c r="M71" s="52"/>
      <c r="O71" s="52"/>
      <c r="Q71" s="52"/>
      <c r="S71" s="52"/>
    </row>
    <row r="72" spans="1:25">
      <c r="A72" s="48"/>
      <c r="B72" s="141" t="s">
        <v>111</v>
      </c>
      <c r="C72" s="2"/>
      <c r="D72" s="198">
        <f>ROUND(D69,-4)</f>
        <v>13760000</v>
      </c>
      <c r="F72" s="6">
        <v>0.8</v>
      </c>
      <c r="G72" s="28">
        <f>F72*J55</f>
        <v>80.408848376767196</v>
      </c>
    </row>
    <row r="73" spans="1:25">
      <c r="A73" s="48"/>
      <c r="B73" s="200" t="s">
        <v>21</v>
      </c>
      <c r="C73" s="201"/>
      <c r="D73" s="199"/>
      <c r="F73" s="6">
        <v>0.2</v>
      </c>
      <c r="G73" s="28">
        <f>F73*N55</f>
        <v>16.373975268116951</v>
      </c>
    </row>
    <row r="74" spans="1:25">
      <c r="B74" s="50"/>
      <c r="C74" s="50"/>
      <c r="D74" s="51"/>
      <c r="G74" s="28">
        <f>SUM(G72:G73)</f>
        <v>96.782823644884147</v>
      </c>
    </row>
    <row r="76" spans="1:25"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</row>
    <row r="77" spans="1:25"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</row>
    <row r="78" spans="1:25">
      <c r="E78" s="191"/>
      <c r="F78" s="191"/>
      <c r="G78" s="191"/>
      <c r="H78" s="191"/>
      <c r="I78" s="191"/>
      <c r="J78" s="191"/>
      <c r="K78" s="191"/>
      <c r="L78" s="191"/>
      <c r="M78" s="191"/>
      <c r="N78" s="191"/>
      <c r="O78" s="191"/>
      <c r="P78" s="191"/>
      <c r="Q78" s="191"/>
      <c r="R78" s="191"/>
      <c r="S78" s="191"/>
      <c r="T78" s="191"/>
    </row>
    <row r="79" spans="1:25">
      <c r="E79" s="36"/>
      <c r="F79" s="56"/>
      <c r="G79" s="36"/>
      <c r="H79" s="56"/>
      <c r="I79" s="36"/>
      <c r="J79" s="56"/>
      <c r="K79" s="36"/>
      <c r="L79" s="56"/>
      <c r="M79" s="36"/>
      <c r="N79" s="56"/>
      <c r="O79" s="36"/>
      <c r="P79" s="56"/>
      <c r="Q79" s="36"/>
      <c r="R79" s="56"/>
      <c r="S79" s="36"/>
      <c r="T79" s="56"/>
    </row>
    <row r="80" spans="1:25">
      <c r="B80" s="2"/>
      <c r="C80" s="2"/>
      <c r="D80" s="2"/>
      <c r="E80" s="59"/>
      <c r="F80" s="60"/>
      <c r="G80" s="59"/>
      <c r="H80" s="60"/>
      <c r="I80" s="59"/>
      <c r="J80" s="60"/>
      <c r="K80" s="59"/>
      <c r="L80" s="60"/>
      <c r="M80" s="59"/>
      <c r="N80" s="60"/>
      <c r="O80" s="59"/>
      <c r="P80" s="60"/>
      <c r="Q80" s="59"/>
      <c r="R80" s="60"/>
      <c r="S80" s="59"/>
      <c r="T80" s="60"/>
      <c r="U80" s="2"/>
    </row>
    <row r="81" spans="2:21"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</row>
    <row r="82" spans="2:21" ht="49.2" customHeight="1">
      <c r="B82" s="53"/>
      <c r="C82" s="54"/>
      <c r="D82" s="35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</row>
    <row r="83" spans="2:21" ht="18" customHeight="1">
      <c r="B83" s="55"/>
      <c r="C83" s="55"/>
      <c r="D83" s="35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</row>
    <row r="84" spans="2:21" ht="18" customHeight="1">
      <c r="B84" s="57"/>
      <c r="C84" s="36"/>
      <c r="D84" s="58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</row>
    <row r="85" spans="2:21" ht="18" customHeight="1"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</row>
    <row r="86" spans="2:21" ht="18" customHeight="1">
      <c r="B86" s="2"/>
      <c r="C86" s="2"/>
      <c r="D86" s="2"/>
      <c r="U86" s="2"/>
    </row>
    <row r="87" spans="2:21" ht="18" customHeight="1">
      <c r="B87" s="2"/>
      <c r="C87" s="2"/>
      <c r="D87" s="2"/>
      <c r="U87" s="2"/>
    </row>
    <row r="88" spans="2:21" ht="18" customHeight="1">
      <c r="B88" s="2"/>
      <c r="C88" s="2"/>
      <c r="D88" s="2"/>
      <c r="U88" s="2"/>
    </row>
    <row r="89" spans="2:21" ht="18" customHeight="1">
      <c r="B89" s="2"/>
      <c r="C89" s="2"/>
      <c r="D89" s="2"/>
      <c r="U89" s="2"/>
    </row>
  </sheetData>
  <mergeCells count="94">
    <mergeCell ref="B14:T15"/>
    <mergeCell ref="B18:D18"/>
    <mergeCell ref="E18:F18"/>
    <mergeCell ref="G18:H18"/>
    <mergeCell ref="I18:J18"/>
    <mergeCell ref="K18:L18"/>
    <mergeCell ref="M18:N18"/>
    <mergeCell ref="O18:P18"/>
    <mergeCell ref="Q18:R18"/>
    <mergeCell ref="S18:T18"/>
    <mergeCell ref="Q21:R21"/>
    <mergeCell ref="S21:T21"/>
    <mergeCell ref="E22:F22"/>
    <mergeCell ref="G22:H22"/>
    <mergeCell ref="I22:J22"/>
    <mergeCell ref="K22:L22"/>
    <mergeCell ref="M22:N22"/>
    <mergeCell ref="O22:P22"/>
    <mergeCell ref="Q22:R22"/>
    <mergeCell ref="S22:T22"/>
    <mergeCell ref="E21:F21"/>
    <mergeCell ref="G21:H21"/>
    <mergeCell ref="I21:J21"/>
    <mergeCell ref="K21:L21"/>
    <mergeCell ref="M21:N21"/>
    <mergeCell ref="O21:P21"/>
    <mergeCell ref="Q24:R24"/>
    <mergeCell ref="S24:T24"/>
    <mergeCell ref="E27:F27"/>
    <mergeCell ref="G27:H27"/>
    <mergeCell ref="I27:J27"/>
    <mergeCell ref="K27:L27"/>
    <mergeCell ref="M27:N27"/>
    <mergeCell ref="O27:P27"/>
    <mergeCell ref="Q27:R27"/>
    <mergeCell ref="S27:T27"/>
    <mergeCell ref="E24:F24"/>
    <mergeCell ref="G24:H24"/>
    <mergeCell ref="I24:J24"/>
    <mergeCell ref="K24:L24"/>
    <mergeCell ref="M24:N24"/>
    <mergeCell ref="O24:P24"/>
    <mergeCell ref="Q30:R30"/>
    <mergeCell ref="S30:T30"/>
    <mergeCell ref="B36:T36"/>
    <mergeCell ref="E37:F37"/>
    <mergeCell ref="G37:H37"/>
    <mergeCell ref="I37:J37"/>
    <mergeCell ref="K37:L37"/>
    <mergeCell ref="M37:N37"/>
    <mergeCell ref="O37:P37"/>
    <mergeCell ref="Q37:R37"/>
    <mergeCell ref="E30:F30"/>
    <mergeCell ref="G30:H30"/>
    <mergeCell ref="I30:J30"/>
    <mergeCell ref="K30:L30"/>
    <mergeCell ref="M30:N30"/>
    <mergeCell ref="O30:P30"/>
    <mergeCell ref="O46:P46"/>
    <mergeCell ref="S37:T37"/>
    <mergeCell ref="E43:F43"/>
    <mergeCell ref="G43:H43"/>
    <mergeCell ref="I43:J43"/>
    <mergeCell ref="K43:L43"/>
    <mergeCell ref="M43:N43"/>
    <mergeCell ref="O43:P43"/>
    <mergeCell ref="Q43:R43"/>
    <mergeCell ref="S43:T43"/>
    <mergeCell ref="I78:J78"/>
    <mergeCell ref="Q46:R46"/>
    <mergeCell ref="S46:T46"/>
    <mergeCell ref="E49:F49"/>
    <mergeCell ref="G49:H49"/>
    <mergeCell ref="I49:J49"/>
    <mergeCell ref="K49:L49"/>
    <mergeCell ref="M49:N49"/>
    <mergeCell ref="O49:P49"/>
    <mergeCell ref="Q49:R49"/>
    <mergeCell ref="S49:T49"/>
    <mergeCell ref="E46:F46"/>
    <mergeCell ref="G46:H46"/>
    <mergeCell ref="I46:J46"/>
    <mergeCell ref="K46:L46"/>
    <mergeCell ref="M46:N46"/>
    <mergeCell ref="B59:D60"/>
    <mergeCell ref="D72:D73"/>
    <mergeCell ref="B73:C73"/>
    <mergeCell ref="E78:F78"/>
    <mergeCell ref="G78:H78"/>
    <mergeCell ref="K78:L78"/>
    <mergeCell ref="M78:N78"/>
    <mergeCell ref="O78:P78"/>
    <mergeCell ref="Q78:R78"/>
    <mergeCell ref="S78:T78"/>
  </mergeCells>
  <conditionalFormatting sqref="F56:T56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F57:T57">
    <cfRule type="colorScale" priority="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5" right="0.75" top="1" bottom="1" header="0.5" footer="0.5"/>
  <pageSetup orientation="landscape" horizontalDpi="4294967292" verticalDpi="4294967292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B935B2-3C06-4689-B1D0-E72139B9D88F}">
  <sheetPr>
    <pageSetUpPr fitToPage="1"/>
  </sheetPr>
  <dimension ref="A1:AG89"/>
  <sheetViews>
    <sheetView topLeftCell="B51" zoomScale="78" zoomScaleNormal="78" workbookViewId="0">
      <selection activeCell="B67" sqref="B67:D73"/>
    </sheetView>
  </sheetViews>
  <sheetFormatPr defaultColWidth="10.90625" defaultRowHeight="18"/>
  <cols>
    <col min="1" max="1" width="10.90625" style="6" customWidth="1"/>
    <col min="2" max="2" width="31.36328125" style="6" customWidth="1"/>
    <col min="3" max="3" width="4.08984375" style="6" customWidth="1"/>
    <col min="4" max="4" width="19.6328125" style="6" customWidth="1"/>
    <col min="5" max="5" width="10.81640625" style="6" customWidth="1"/>
    <col min="6" max="6" width="15.36328125" style="6" customWidth="1"/>
    <col min="7" max="7" width="9.81640625" style="6" customWidth="1"/>
    <col min="8" max="8" width="12.6328125" style="6" customWidth="1"/>
    <col min="9" max="9" width="10.08984375" style="6" customWidth="1"/>
    <col min="10" max="10" width="16.6328125" style="6" customWidth="1"/>
    <col min="11" max="11" width="10.08984375" style="6" customWidth="1"/>
    <col min="12" max="12" width="16.90625" style="6" customWidth="1"/>
    <col min="13" max="13" width="9.08984375" style="6" customWidth="1"/>
    <col min="14" max="14" width="14.36328125" style="6" customWidth="1"/>
    <col min="15" max="15" width="9" style="6" customWidth="1"/>
    <col min="16" max="16" width="18.6328125" style="6" customWidth="1"/>
    <col min="17" max="17" width="9.26953125" style="6" customWidth="1"/>
    <col min="18" max="18" width="13.453125" style="6" customWidth="1"/>
    <col min="19" max="19" width="9.90625" style="6" customWidth="1"/>
    <col min="20" max="20" width="16.08984375" style="6" customWidth="1"/>
    <col min="21" max="21" width="8.453125" style="6" bestFit="1" customWidth="1"/>
    <col min="22" max="23" width="15" style="6" bestFit="1" customWidth="1"/>
    <col min="24" max="24" width="10" style="6" bestFit="1" customWidth="1"/>
    <col min="25" max="25" width="4" style="6" bestFit="1" customWidth="1"/>
    <col min="26" max="26" width="12" style="6" bestFit="1" customWidth="1"/>
    <col min="27" max="28" width="10.90625" style="6" customWidth="1"/>
    <col min="29" max="29" width="10" style="6" customWidth="1"/>
    <col min="30" max="30" width="10.90625" style="6" customWidth="1"/>
    <col min="31" max="31" width="33.90625" style="6" customWidth="1"/>
    <col min="32" max="32" width="20.08984375" style="6" customWidth="1"/>
    <col min="33" max="33" width="14.90625" style="6" customWidth="1"/>
    <col min="34" max="16384" width="10.90625" style="6"/>
  </cols>
  <sheetData>
    <row r="1" spans="1:33">
      <c r="F1" s="7" t="s">
        <v>53</v>
      </c>
      <c r="H1" s="7" t="s">
        <v>54</v>
      </c>
      <c r="J1" s="7" t="s">
        <v>62</v>
      </c>
      <c r="L1" s="7" t="s">
        <v>55</v>
      </c>
      <c r="N1" s="7" t="s">
        <v>56</v>
      </c>
      <c r="P1" s="7" t="s">
        <v>57</v>
      </c>
      <c r="R1" s="7" t="s">
        <v>80</v>
      </c>
      <c r="T1" s="7" t="s">
        <v>95</v>
      </c>
    </row>
    <row r="2" spans="1:33" s="8" customFormat="1">
      <c r="D2" s="9" t="s">
        <v>22</v>
      </c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AE2" s="6"/>
      <c r="AF2" s="6"/>
      <c r="AG2" s="6"/>
    </row>
    <row r="3" spans="1:33" s="8" customFormat="1" ht="54">
      <c r="D3" s="11"/>
      <c r="F3" s="10" t="s">
        <v>66</v>
      </c>
      <c r="H3" s="10" t="s">
        <v>71</v>
      </c>
      <c r="J3" s="10" t="s">
        <v>92</v>
      </c>
      <c r="L3" s="10" t="s">
        <v>73</v>
      </c>
      <c r="N3" s="10" t="s">
        <v>75</v>
      </c>
      <c r="P3" s="10" t="s">
        <v>77</v>
      </c>
      <c r="R3" s="10" t="s">
        <v>83</v>
      </c>
      <c r="T3" s="10" t="s">
        <v>81</v>
      </c>
      <c r="AE3" s="6"/>
      <c r="AF3" s="6"/>
      <c r="AG3" s="6"/>
    </row>
    <row r="4" spans="1:33">
      <c r="D4" s="12" t="s">
        <v>23</v>
      </c>
      <c r="E4" s="13"/>
      <c r="F4" s="14" t="s">
        <v>67</v>
      </c>
      <c r="G4" s="13"/>
      <c r="H4" s="14" t="s">
        <v>72</v>
      </c>
      <c r="I4" s="13"/>
      <c r="J4" s="14" t="s">
        <v>91</v>
      </c>
      <c r="K4" s="13"/>
      <c r="L4" s="14" t="s">
        <v>74</v>
      </c>
      <c r="M4" s="13"/>
      <c r="N4" s="14" t="s">
        <v>76</v>
      </c>
      <c r="O4" s="13"/>
      <c r="P4" s="14" t="s">
        <v>78</v>
      </c>
      <c r="Q4" s="13"/>
      <c r="R4" s="14" t="s">
        <v>84</v>
      </c>
      <c r="S4" s="13"/>
      <c r="T4" s="14" t="s">
        <v>82</v>
      </c>
    </row>
    <row r="5" spans="1:33">
      <c r="D5" s="12" t="s">
        <v>24</v>
      </c>
      <c r="E5" s="13"/>
      <c r="F5" s="15">
        <v>41143</v>
      </c>
      <c r="G5" s="13"/>
      <c r="H5" s="15">
        <v>41060</v>
      </c>
      <c r="I5" s="13"/>
      <c r="J5" s="15">
        <v>41060</v>
      </c>
      <c r="K5" s="13"/>
      <c r="L5" s="15">
        <v>40702</v>
      </c>
      <c r="M5" s="13"/>
      <c r="N5" s="15">
        <v>40968</v>
      </c>
      <c r="O5" s="13"/>
      <c r="P5" s="15">
        <v>39903</v>
      </c>
      <c r="Q5" s="13"/>
      <c r="R5" s="15">
        <v>39721</v>
      </c>
      <c r="S5" s="13"/>
      <c r="T5" s="15">
        <v>39667</v>
      </c>
    </row>
    <row r="6" spans="1:33" s="21" customFormat="1">
      <c r="A6" s="16"/>
      <c r="B6" s="16"/>
      <c r="C6" s="16"/>
      <c r="D6" s="17" t="s">
        <v>41</v>
      </c>
      <c r="E6" s="18"/>
      <c r="F6" s="19">
        <v>212375</v>
      </c>
      <c r="G6" s="20"/>
      <c r="H6" s="19">
        <v>51276</v>
      </c>
      <c r="I6" s="20"/>
      <c r="J6" s="19">
        <v>121638</v>
      </c>
      <c r="K6" s="20"/>
      <c r="L6" s="19">
        <v>140684</v>
      </c>
      <c r="M6" s="20"/>
      <c r="N6" s="19">
        <v>67146</v>
      </c>
      <c r="O6" s="20"/>
      <c r="P6" s="19">
        <v>52920</v>
      </c>
      <c r="Q6" s="20"/>
      <c r="R6" s="19">
        <v>127082</v>
      </c>
      <c r="S6" s="20"/>
      <c r="T6" s="19">
        <v>139588</v>
      </c>
      <c r="AE6" s="6"/>
      <c r="AF6" s="6"/>
      <c r="AG6" s="6"/>
    </row>
    <row r="7" spans="1:33">
      <c r="D7" s="12" t="s">
        <v>25</v>
      </c>
      <c r="E7" s="22"/>
      <c r="F7" s="22">
        <v>16000000</v>
      </c>
      <c r="G7" s="22"/>
      <c r="H7" s="22">
        <v>4820000</v>
      </c>
      <c r="I7" s="22"/>
      <c r="J7" s="22">
        <v>9900000</v>
      </c>
      <c r="K7" s="22"/>
      <c r="L7" s="22">
        <v>5200000</v>
      </c>
      <c r="M7" s="22"/>
      <c r="N7" s="22">
        <v>6200000</v>
      </c>
      <c r="O7" s="22"/>
      <c r="P7" s="22">
        <v>2600000</v>
      </c>
      <c r="Q7" s="22"/>
      <c r="R7" s="22">
        <v>5000000</v>
      </c>
      <c r="S7" s="22"/>
      <c r="T7" s="22">
        <v>3200000</v>
      </c>
    </row>
    <row r="8" spans="1:33">
      <c r="D8" s="12" t="s">
        <v>26</v>
      </c>
      <c r="E8" s="22"/>
      <c r="F8" s="22">
        <v>0</v>
      </c>
      <c r="G8" s="22"/>
      <c r="H8" s="22">
        <v>180000</v>
      </c>
      <c r="I8" s="22"/>
      <c r="J8" s="22">
        <v>0</v>
      </c>
      <c r="K8" s="22"/>
      <c r="L8" s="22">
        <v>0</v>
      </c>
      <c r="M8" s="22"/>
      <c r="N8" s="22">
        <v>0</v>
      </c>
      <c r="O8" s="22"/>
      <c r="P8" s="22">
        <v>0</v>
      </c>
      <c r="Q8" s="22"/>
      <c r="R8" s="22">
        <v>0</v>
      </c>
      <c r="S8" s="22"/>
      <c r="T8" s="22">
        <v>0</v>
      </c>
    </row>
    <row r="9" spans="1:33">
      <c r="D9" s="12" t="s">
        <v>27</v>
      </c>
      <c r="E9" s="22"/>
      <c r="F9" s="22">
        <v>0</v>
      </c>
      <c r="G9" s="22"/>
      <c r="H9" s="22">
        <v>0</v>
      </c>
      <c r="I9" s="22"/>
      <c r="J9" s="22">
        <v>0</v>
      </c>
      <c r="K9" s="22"/>
      <c r="L9" s="22">
        <v>0</v>
      </c>
      <c r="M9" s="22"/>
      <c r="N9" s="22">
        <v>-1100000</v>
      </c>
      <c r="O9" s="22"/>
      <c r="P9" s="22">
        <v>0</v>
      </c>
      <c r="Q9" s="22"/>
      <c r="R9" s="22">
        <v>0</v>
      </c>
      <c r="S9" s="22"/>
      <c r="T9" s="22">
        <v>0</v>
      </c>
    </row>
    <row r="10" spans="1:33">
      <c r="D10" s="12" t="s">
        <v>28</v>
      </c>
      <c r="E10" s="22"/>
      <c r="F10" s="22">
        <f>SUM(F7:F9)</f>
        <v>16000000</v>
      </c>
      <c r="G10" s="22"/>
      <c r="H10" s="22">
        <f>H7</f>
        <v>4820000</v>
      </c>
      <c r="I10" s="22"/>
      <c r="J10" s="22">
        <f>SUM(J7:J9)</f>
        <v>9900000</v>
      </c>
      <c r="K10" s="22"/>
      <c r="L10" s="22">
        <f>SUM(L7:L9)</f>
        <v>5200000</v>
      </c>
      <c r="M10" s="22"/>
      <c r="N10" s="22">
        <f>N7</f>
        <v>6200000</v>
      </c>
      <c r="O10" s="22"/>
      <c r="P10" s="22">
        <f>SUM(P7:P9)</f>
        <v>2600000</v>
      </c>
      <c r="Q10" s="22"/>
      <c r="R10" s="22">
        <f>SUM(R7:R9)</f>
        <v>5000000</v>
      </c>
      <c r="S10" s="22"/>
      <c r="T10" s="22">
        <f>SUM(T7:T9)</f>
        <v>3200000</v>
      </c>
    </row>
    <row r="11" spans="1:33">
      <c r="A11" s="23"/>
      <c r="B11" s="23"/>
      <c r="C11" s="23"/>
      <c r="D11" s="24" t="s">
        <v>29</v>
      </c>
      <c r="E11" s="25"/>
      <c r="F11" s="25">
        <f>F7/F6</f>
        <v>75.33843437316068</v>
      </c>
      <c r="G11" s="25"/>
      <c r="H11" s="25">
        <f>H7/H6</f>
        <v>94.001092128871207</v>
      </c>
      <c r="I11" s="25"/>
      <c r="J11" s="25">
        <f>J7/J6</f>
        <v>81.389039609332613</v>
      </c>
      <c r="K11" s="25"/>
      <c r="L11" s="25">
        <f>L7/L6</f>
        <v>36.962270052031506</v>
      </c>
      <c r="M11" s="25"/>
      <c r="N11" s="25">
        <f>N7/N6</f>
        <v>92.336103416435833</v>
      </c>
      <c r="O11" s="25"/>
      <c r="P11" s="25">
        <f>P7/P6</f>
        <v>49.130763416477706</v>
      </c>
      <c r="Q11" s="25"/>
      <c r="R11" s="25">
        <f>R7/R6</f>
        <v>39.344675091673096</v>
      </c>
      <c r="S11" s="25"/>
      <c r="T11" s="25">
        <f>T7/T6</f>
        <v>22.924606699716307</v>
      </c>
    </row>
    <row r="12" spans="1:33">
      <c r="A12" s="23"/>
      <c r="B12" s="23"/>
      <c r="C12" s="23"/>
      <c r="D12" s="26" t="s">
        <v>9</v>
      </c>
      <c r="E12" s="25"/>
      <c r="F12" s="25">
        <v>9.6999999999999993</v>
      </c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</row>
    <row r="14" spans="1:33" ht="13.2" customHeight="1">
      <c r="B14" s="234" t="s">
        <v>97</v>
      </c>
      <c r="C14" s="235"/>
      <c r="D14" s="235"/>
      <c r="E14" s="235"/>
      <c r="F14" s="235"/>
      <c r="G14" s="235"/>
      <c r="H14" s="235"/>
      <c r="I14" s="235"/>
      <c r="J14" s="235"/>
      <c r="K14" s="235"/>
      <c r="L14" s="235"/>
      <c r="M14" s="235"/>
      <c r="N14" s="235"/>
      <c r="O14" s="235"/>
      <c r="P14" s="235"/>
      <c r="Q14" s="235"/>
      <c r="R14" s="235"/>
      <c r="S14" s="235"/>
      <c r="T14" s="236"/>
      <c r="Y14" s="27"/>
    </row>
    <row r="15" spans="1:33" ht="15" customHeight="1" thickBot="1">
      <c r="B15" s="237"/>
      <c r="C15" s="238"/>
      <c r="D15" s="238"/>
      <c r="E15" s="239"/>
      <c r="F15" s="239"/>
      <c r="G15" s="239"/>
      <c r="H15" s="239"/>
      <c r="I15" s="239"/>
      <c r="J15" s="239"/>
      <c r="K15" s="239"/>
      <c r="L15" s="239"/>
      <c r="M15" s="239"/>
      <c r="N15" s="239"/>
      <c r="O15" s="239"/>
      <c r="P15" s="239"/>
      <c r="Q15" s="239"/>
      <c r="R15" s="239"/>
      <c r="S15" s="239"/>
      <c r="T15" s="240"/>
    </row>
    <row r="16" spans="1:33" ht="24" customHeight="1">
      <c r="B16" s="117" t="s">
        <v>0</v>
      </c>
      <c r="C16" s="62"/>
      <c r="D16" s="63" t="s">
        <v>1</v>
      </c>
      <c r="E16" s="64"/>
      <c r="F16" s="65" t="str">
        <f>+F1</f>
        <v>Sale 1</v>
      </c>
      <c r="G16" s="64"/>
      <c r="H16" s="66" t="str">
        <f>+H1</f>
        <v>Sale 2</v>
      </c>
      <c r="I16" s="64"/>
      <c r="J16" s="66" t="str">
        <f>+J1</f>
        <v>Sale 3</v>
      </c>
      <c r="K16" s="67"/>
      <c r="L16" s="65" t="str">
        <f>+L1</f>
        <v>Sale 4</v>
      </c>
      <c r="M16" s="64"/>
      <c r="N16" s="65" t="str">
        <f>+N1</f>
        <v>Sale 5</v>
      </c>
      <c r="O16" s="64"/>
      <c r="P16" s="65" t="str">
        <f>+P1</f>
        <v>Sale 6</v>
      </c>
      <c r="Q16" s="64"/>
      <c r="R16" s="66" t="str">
        <f>R1</f>
        <v>Sale 7</v>
      </c>
      <c r="S16" s="67"/>
      <c r="T16" s="66" t="str">
        <f>+T1</f>
        <v>Sale 8</v>
      </c>
    </row>
    <row r="17" spans="2:33" s="8" customFormat="1" ht="24" customHeight="1">
      <c r="B17" s="118" t="s">
        <v>2</v>
      </c>
      <c r="C17" s="68"/>
      <c r="D17" s="69"/>
      <c r="E17" s="70"/>
      <c r="F17" s="186"/>
      <c r="G17" s="70"/>
      <c r="H17" s="185"/>
      <c r="I17" s="70"/>
      <c r="J17" s="185"/>
      <c r="K17" s="68"/>
      <c r="L17" s="186"/>
      <c r="M17" s="70"/>
      <c r="N17" s="186"/>
      <c r="O17" s="70"/>
      <c r="P17" s="186"/>
      <c r="Q17" s="70"/>
      <c r="R17" s="185"/>
      <c r="S17" s="68"/>
      <c r="T17" s="185"/>
      <c r="AE17" s="6"/>
      <c r="AF17" s="6"/>
      <c r="AG17" s="6"/>
    </row>
    <row r="18" spans="2:33" s="8" customFormat="1" ht="24" customHeight="1">
      <c r="B18" s="241" t="s">
        <v>99</v>
      </c>
      <c r="C18" s="242"/>
      <c r="D18" s="243"/>
      <c r="E18" s="244" t="str">
        <f>IF(F3=0,"  ",F3)</f>
        <v>8301 Flying Cloud Dr</v>
      </c>
      <c r="F18" s="245"/>
      <c r="G18" s="244" t="str">
        <f>IF(H3=0,"  ",H3)</f>
        <v>1959 Suburban</v>
      </c>
      <c r="H18" s="245"/>
      <c r="I18" s="244" t="str">
        <f>IF(J3=0,"  ",J3)</f>
        <v>14230 Burnhaven Dr</v>
      </c>
      <c r="J18" s="245"/>
      <c r="K18" s="246" t="str">
        <f>IF(L3=0,"  ",L3)</f>
        <v>4405 Pheasant Ridge</v>
      </c>
      <c r="L18" s="246"/>
      <c r="M18" s="244" t="str">
        <f>IF(N3=0,"  ",N3)</f>
        <v>441 Hwy 96</v>
      </c>
      <c r="N18" s="245"/>
      <c r="O18" s="244" t="str">
        <f>IF(P3=0,"  ",P3)</f>
        <v>5925 Earle Brown Dr</v>
      </c>
      <c r="P18" s="246"/>
      <c r="Q18" s="244" t="str">
        <f>IF(R3=0,"  ",R3)</f>
        <v>2324 3rd Ave</v>
      </c>
      <c r="R18" s="245"/>
      <c r="S18" s="246" t="str">
        <f>IF(T3=0,"  ",T3)</f>
        <v>13800 Rogers Dr</v>
      </c>
      <c r="T18" s="245"/>
      <c r="AE18" s="6"/>
      <c r="AF18" s="6"/>
      <c r="AG18" s="6"/>
    </row>
    <row r="19" spans="2:33" ht="24" customHeight="1">
      <c r="B19" s="71"/>
      <c r="C19" s="62"/>
      <c r="D19" s="187" t="s">
        <v>65</v>
      </c>
      <c r="E19" s="71"/>
      <c r="F19" s="72" t="str">
        <f>+F4</f>
        <v>Eden Prairie</v>
      </c>
      <c r="G19" s="73"/>
      <c r="H19" s="74" t="str">
        <f>+H4</f>
        <v>St. Paul</v>
      </c>
      <c r="I19" s="73"/>
      <c r="J19" s="74" t="str">
        <f>+J4</f>
        <v>Burnsville</v>
      </c>
      <c r="K19" s="75"/>
      <c r="L19" s="72" t="str">
        <f>+L4</f>
        <v>Blaine</v>
      </c>
      <c r="M19" s="73"/>
      <c r="N19" s="72" t="str">
        <f>+N4</f>
        <v>Shoreview</v>
      </c>
      <c r="O19" s="73"/>
      <c r="P19" s="72" t="str">
        <f>+P4</f>
        <v>Brooklyn Center</v>
      </c>
      <c r="Q19" s="73"/>
      <c r="R19" s="74" t="str">
        <f>+R4</f>
        <v>Cambridge</v>
      </c>
      <c r="S19" s="75"/>
      <c r="T19" s="74" t="str">
        <f>+T4</f>
        <v>Rogers</v>
      </c>
    </row>
    <row r="20" spans="2:33" ht="24" customHeight="1">
      <c r="B20" s="85"/>
      <c r="C20" s="76"/>
      <c r="D20" s="77"/>
      <c r="E20" s="71"/>
      <c r="F20" s="62"/>
      <c r="G20" s="71"/>
      <c r="H20" s="78"/>
      <c r="I20" s="79"/>
      <c r="J20" s="80"/>
      <c r="K20" s="62"/>
      <c r="L20" s="62"/>
      <c r="M20" s="71"/>
      <c r="N20" s="62"/>
      <c r="O20" s="71"/>
      <c r="P20" s="62"/>
      <c r="Q20" s="79"/>
      <c r="R20" s="80"/>
      <c r="S20" s="76"/>
      <c r="T20" s="80"/>
    </row>
    <row r="21" spans="2:33" ht="24" customHeight="1">
      <c r="B21" s="119" t="s">
        <v>3</v>
      </c>
      <c r="C21" s="62"/>
      <c r="D21" s="81" t="s">
        <v>4</v>
      </c>
      <c r="E21" s="230">
        <f>+F7</f>
        <v>16000000</v>
      </c>
      <c r="F21" s="231"/>
      <c r="G21" s="230">
        <f>+H7</f>
        <v>4820000</v>
      </c>
      <c r="H21" s="231"/>
      <c r="I21" s="230">
        <v>9990000</v>
      </c>
      <c r="J21" s="231"/>
      <c r="K21" s="230">
        <f>+L7</f>
        <v>5200000</v>
      </c>
      <c r="L21" s="231"/>
      <c r="M21" s="230">
        <f>+N7</f>
        <v>6200000</v>
      </c>
      <c r="N21" s="231"/>
      <c r="O21" s="230">
        <f>+P7</f>
        <v>2600000</v>
      </c>
      <c r="P21" s="231"/>
      <c r="Q21" s="230">
        <f>+R7</f>
        <v>5000000</v>
      </c>
      <c r="R21" s="231"/>
      <c r="S21" s="230">
        <f>+T7</f>
        <v>3200000</v>
      </c>
      <c r="T21" s="231"/>
    </row>
    <row r="22" spans="2:33" ht="24" customHeight="1">
      <c r="B22" s="115" t="s">
        <v>47</v>
      </c>
      <c r="C22" s="62"/>
      <c r="D22" s="83">
        <v>137562</v>
      </c>
      <c r="E22" s="232">
        <f>F6</f>
        <v>212375</v>
      </c>
      <c r="F22" s="233"/>
      <c r="G22" s="232">
        <f>H6</f>
        <v>51276</v>
      </c>
      <c r="H22" s="233"/>
      <c r="I22" s="232">
        <f>J6</f>
        <v>121638</v>
      </c>
      <c r="J22" s="233"/>
      <c r="K22" s="232">
        <f>L6</f>
        <v>140684</v>
      </c>
      <c r="L22" s="233"/>
      <c r="M22" s="232">
        <f>N6</f>
        <v>67146</v>
      </c>
      <c r="N22" s="233"/>
      <c r="O22" s="232">
        <f>P6</f>
        <v>52920</v>
      </c>
      <c r="P22" s="233"/>
      <c r="Q22" s="232">
        <f>R6</f>
        <v>127082</v>
      </c>
      <c r="R22" s="233"/>
      <c r="S22" s="232">
        <f>T6</f>
        <v>139588</v>
      </c>
      <c r="T22" s="233"/>
    </row>
    <row r="23" spans="2:33" ht="24" customHeight="1">
      <c r="B23" s="116" t="s">
        <v>44</v>
      </c>
      <c r="C23" s="76"/>
      <c r="D23" s="84" t="s">
        <v>13</v>
      </c>
      <c r="E23" s="85"/>
      <c r="F23" s="86">
        <f>ROUND(E21/(F6),2)</f>
        <v>75.34</v>
      </c>
      <c r="G23" s="87"/>
      <c r="H23" s="88">
        <f>ROUND(G21/(H6),2)</f>
        <v>94</v>
      </c>
      <c r="I23" s="87"/>
      <c r="J23" s="88">
        <f>ROUND(I21/(J6),2)</f>
        <v>82.13</v>
      </c>
      <c r="K23" s="89"/>
      <c r="L23" s="86">
        <f>ROUND(K21/(L6),2)</f>
        <v>36.96</v>
      </c>
      <c r="M23" s="87"/>
      <c r="N23" s="86">
        <f>ROUND(M21/(N6),2)</f>
        <v>92.34</v>
      </c>
      <c r="O23" s="87"/>
      <c r="P23" s="86">
        <f>ROUND(O21/(P6),2)</f>
        <v>49.13</v>
      </c>
      <c r="Q23" s="87"/>
      <c r="R23" s="88">
        <f>ROUND(Q21/(R6),2)</f>
        <v>39.340000000000003</v>
      </c>
      <c r="S23" s="89"/>
      <c r="T23" s="88">
        <f>ROUND(S21/(T6),2)</f>
        <v>22.92</v>
      </c>
      <c r="U23" s="6" t="s">
        <v>14</v>
      </c>
      <c r="V23" s="23">
        <f>AVERAGE(F23:T23)</f>
        <v>61.52</v>
      </c>
    </row>
    <row r="24" spans="2:33" ht="24" customHeight="1">
      <c r="B24" s="119" t="s">
        <v>103</v>
      </c>
      <c r="C24" s="62"/>
      <c r="D24" s="90" t="s">
        <v>52</v>
      </c>
      <c r="E24" s="224" t="s">
        <v>52</v>
      </c>
      <c r="F24" s="225"/>
      <c r="G24" s="224" t="s">
        <v>52</v>
      </c>
      <c r="H24" s="225"/>
      <c r="I24" s="224" t="s">
        <v>93</v>
      </c>
      <c r="J24" s="225"/>
      <c r="K24" s="226" t="s">
        <v>105</v>
      </c>
      <c r="L24" s="225"/>
      <c r="M24" s="224" t="s">
        <v>52</v>
      </c>
      <c r="N24" s="225"/>
      <c r="O24" s="224" t="s">
        <v>52</v>
      </c>
      <c r="P24" s="225"/>
      <c r="Q24" s="224" t="s">
        <v>52</v>
      </c>
      <c r="R24" s="225"/>
      <c r="S24" s="226" t="s">
        <v>105</v>
      </c>
      <c r="T24" s="225"/>
      <c r="U24" s="6" t="s">
        <v>15</v>
      </c>
      <c r="V24" s="23">
        <f>MEDIAN(F23:T23)</f>
        <v>62.234999999999999</v>
      </c>
      <c r="X24" s="6" t="s">
        <v>34</v>
      </c>
    </row>
    <row r="25" spans="2:33" ht="24" customHeight="1">
      <c r="B25" s="115" t="s">
        <v>5</v>
      </c>
      <c r="C25" s="62"/>
      <c r="D25" s="90" t="s">
        <v>63</v>
      </c>
      <c r="E25" s="91">
        <v>0</v>
      </c>
      <c r="F25" s="92">
        <f>ROUND(1/(1-E25)*F23,2)-F23</f>
        <v>0</v>
      </c>
      <c r="G25" s="91">
        <v>0</v>
      </c>
      <c r="H25" s="93">
        <f>ROUND(1/(1-G25)*H23,2)-H23</f>
        <v>0</v>
      </c>
      <c r="I25" s="91">
        <v>0</v>
      </c>
      <c r="J25" s="93">
        <f>J23*I25</f>
        <v>0</v>
      </c>
      <c r="K25" s="94">
        <v>0.7</v>
      </c>
      <c r="L25" s="92">
        <f>K25*L23</f>
        <v>25.872</v>
      </c>
      <c r="M25" s="91">
        <v>0</v>
      </c>
      <c r="N25" s="92">
        <f>ROUND(1/(1-M25)*N23,2)-N23</f>
        <v>0</v>
      </c>
      <c r="O25" s="91">
        <v>0</v>
      </c>
      <c r="P25" s="92">
        <f>ROUND(1/(1-O25)*P23,2)-P23</f>
        <v>0</v>
      </c>
      <c r="Q25" s="91">
        <v>0</v>
      </c>
      <c r="R25" s="93">
        <f>Q25*R23</f>
        <v>0</v>
      </c>
      <c r="S25" s="94">
        <v>0.7</v>
      </c>
      <c r="T25" s="93">
        <f>T23*S25</f>
        <v>16.044</v>
      </c>
      <c r="U25" s="6" t="s">
        <v>16</v>
      </c>
      <c r="V25" s="6">
        <f>STDEV(F23:P23)</f>
        <v>23.501453572066573</v>
      </c>
      <c r="X25" s="23">
        <f>V27-V26</f>
        <v>71.08</v>
      </c>
    </row>
    <row r="26" spans="2:33" ht="24" customHeight="1">
      <c r="B26" s="116" t="s">
        <v>43</v>
      </c>
      <c r="C26" s="76"/>
      <c r="D26" s="77"/>
      <c r="E26" s="85"/>
      <c r="F26" s="86">
        <f>+F23+F25</f>
        <v>75.34</v>
      </c>
      <c r="G26" s="87"/>
      <c r="H26" s="88">
        <f>+H23+H25</f>
        <v>94</v>
      </c>
      <c r="I26" s="87"/>
      <c r="J26" s="88">
        <f>+J23+J25</f>
        <v>82.13</v>
      </c>
      <c r="K26" s="89"/>
      <c r="L26" s="86">
        <f>+L23+L25</f>
        <v>62.832000000000001</v>
      </c>
      <c r="M26" s="87"/>
      <c r="N26" s="86">
        <f>+N23+N25</f>
        <v>92.34</v>
      </c>
      <c r="O26" s="87"/>
      <c r="P26" s="86">
        <f>+P23+P25</f>
        <v>49.13</v>
      </c>
      <c r="Q26" s="87"/>
      <c r="R26" s="88">
        <f>+R23+R25</f>
        <v>39.340000000000003</v>
      </c>
      <c r="S26" s="89"/>
      <c r="T26" s="88">
        <f>+T23+T25</f>
        <v>38.963999999999999</v>
      </c>
      <c r="U26" s="6" t="s">
        <v>17</v>
      </c>
      <c r="V26" s="23">
        <f>MIN(F23:T23)</f>
        <v>22.92</v>
      </c>
    </row>
    <row r="27" spans="2:33" ht="24" customHeight="1">
      <c r="B27" s="119" t="s">
        <v>6</v>
      </c>
      <c r="C27" s="62"/>
      <c r="D27" s="90"/>
      <c r="E27" s="227" t="s">
        <v>36</v>
      </c>
      <c r="F27" s="228"/>
      <c r="G27" s="227" t="s">
        <v>36</v>
      </c>
      <c r="H27" s="228"/>
      <c r="I27" s="227" t="s">
        <v>36</v>
      </c>
      <c r="J27" s="228"/>
      <c r="K27" s="229" t="s">
        <v>36</v>
      </c>
      <c r="L27" s="229"/>
      <c r="M27" s="227" t="s">
        <v>36</v>
      </c>
      <c r="N27" s="229"/>
      <c r="O27" s="227" t="s">
        <v>79</v>
      </c>
      <c r="P27" s="229"/>
      <c r="Q27" s="227" t="s">
        <v>79</v>
      </c>
      <c r="R27" s="228"/>
      <c r="S27" s="229" t="s">
        <v>79</v>
      </c>
      <c r="T27" s="228"/>
      <c r="U27" s="6" t="s">
        <v>18</v>
      </c>
      <c r="V27" s="23">
        <f>MAX(F23:T23)</f>
        <v>94</v>
      </c>
      <c r="AA27" s="6" t="s">
        <v>98</v>
      </c>
    </row>
    <row r="28" spans="2:33" ht="24" customHeight="1">
      <c r="B28" s="115" t="s">
        <v>5</v>
      </c>
      <c r="C28" s="62"/>
      <c r="D28" s="143" t="s">
        <v>36</v>
      </c>
      <c r="E28" s="91">
        <f>F28/F26</f>
        <v>0</v>
      </c>
      <c r="F28" s="95">
        <v>0</v>
      </c>
      <c r="G28" s="91">
        <f>H28/H26</f>
        <v>0</v>
      </c>
      <c r="H28" s="96">
        <v>0</v>
      </c>
      <c r="I28" s="91">
        <f>J28/J26</f>
        <v>0</v>
      </c>
      <c r="J28" s="96">
        <v>0</v>
      </c>
      <c r="K28" s="94">
        <f>L28/L26</f>
        <v>0</v>
      </c>
      <c r="L28" s="95">
        <v>0</v>
      </c>
      <c r="M28" s="91">
        <v>0</v>
      </c>
      <c r="N28" s="95">
        <f>M28*N26</f>
        <v>0</v>
      </c>
      <c r="O28" s="91">
        <f>P28/P26</f>
        <v>0</v>
      </c>
      <c r="P28" s="95">
        <v>0</v>
      </c>
      <c r="Q28" s="91">
        <f>R28/R26</f>
        <v>0</v>
      </c>
      <c r="R28" s="96">
        <v>0</v>
      </c>
      <c r="S28" s="94">
        <f>T28/T26</f>
        <v>0</v>
      </c>
      <c r="T28" s="96">
        <v>0</v>
      </c>
      <c r="X28" s="23"/>
    </row>
    <row r="29" spans="2:33" ht="24" customHeight="1">
      <c r="B29" s="116" t="s">
        <v>43</v>
      </c>
      <c r="C29" s="76"/>
      <c r="D29" s="77"/>
      <c r="E29" s="85"/>
      <c r="F29" s="86">
        <f>+F26+F28</f>
        <v>75.34</v>
      </c>
      <c r="G29" s="87"/>
      <c r="H29" s="88">
        <f>+H26+H28</f>
        <v>94</v>
      </c>
      <c r="I29" s="87"/>
      <c r="J29" s="88">
        <f>+J26+J28</f>
        <v>82.13</v>
      </c>
      <c r="K29" s="89"/>
      <c r="L29" s="86">
        <f>+L26+L28</f>
        <v>62.832000000000001</v>
      </c>
      <c r="M29" s="87"/>
      <c r="N29" s="86">
        <f>+N26+N28</f>
        <v>92.34</v>
      </c>
      <c r="O29" s="87"/>
      <c r="P29" s="86">
        <f>+P26+P28</f>
        <v>49.13</v>
      </c>
      <c r="Q29" s="87"/>
      <c r="R29" s="88">
        <f>+R26+R28</f>
        <v>39.340000000000003</v>
      </c>
      <c r="S29" s="89"/>
      <c r="T29" s="88">
        <f>+T26+T28</f>
        <v>38.963999999999999</v>
      </c>
    </row>
    <row r="30" spans="2:33" ht="24" customHeight="1">
      <c r="B30" s="113" t="s">
        <v>7</v>
      </c>
      <c r="C30" s="82"/>
      <c r="D30" s="97"/>
      <c r="E30" s="217" t="s">
        <v>33</v>
      </c>
      <c r="F30" s="218"/>
      <c r="G30" s="217" t="s">
        <v>104</v>
      </c>
      <c r="H30" s="218"/>
      <c r="I30" s="217" t="s">
        <v>33</v>
      </c>
      <c r="J30" s="218"/>
      <c r="K30" s="219" t="s">
        <v>33</v>
      </c>
      <c r="L30" s="219"/>
      <c r="M30" s="217" t="s">
        <v>33</v>
      </c>
      <c r="N30" s="219"/>
      <c r="O30" s="217" t="s">
        <v>33</v>
      </c>
      <c r="P30" s="219"/>
      <c r="Q30" s="217" t="s">
        <v>33</v>
      </c>
      <c r="R30" s="218"/>
      <c r="S30" s="219" t="s">
        <v>33</v>
      </c>
      <c r="T30" s="218"/>
    </row>
    <row r="31" spans="2:33" ht="24" customHeight="1">
      <c r="B31" s="115" t="s">
        <v>5</v>
      </c>
      <c r="C31" s="62"/>
      <c r="D31" s="90" t="s">
        <v>11</v>
      </c>
      <c r="E31" s="91">
        <f>F31/F29</f>
        <v>0</v>
      </c>
      <c r="F31" s="96">
        <f>(+F8+F9)/(F6)</f>
        <v>0</v>
      </c>
      <c r="G31" s="91">
        <f>H31/H29</f>
        <v>-3.7344832222117104E-2</v>
      </c>
      <c r="H31" s="96">
        <f>-H8/H6</f>
        <v>-3.5104142288790077</v>
      </c>
      <c r="I31" s="91">
        <v>0</v>
      </c>
      <c r="J31" s="96">
        <f>I31*J29</f>
        <v>0</v>
      </c>
      <c r="K31" s="94">
        <v>0</v>
      </c>
      <c r="L31" s="95">
        <f>K31*L29</f>
        <v>0</v>
      </c>
      <c r="M31" s="91">
        <f>-N31/N29</f>
        <v>0.17741186805787765</v>
      </c>
      <c r="N31" s="95">
        <f>N9/N6</f>
        <v>-16.382211896464423</v>
      </c>
      <c r="O31" s="91">
        <v>0</v>
      </c>
      <c r="P31" s="95">
        <f>O31*P29</f>
        <v>0</v>
      </c>
      <c r="Q31" s="91">
        <v>0</v>
      </c>
      <c r="R31" s="96">
        <f>Q31*R29</f>
        <v>0</v>
      </c>
      <c r="S31" s="94">
        <v>0</v>
      </c>
      <c r="T31" s="96">
        <f>S31*T29</f>
        <v>0</v>
      </c>
    </row>
    <row r="32" spans="2:33" ht="24" customHeight="1">
      <c r="B32" s="116" t="s">
        <v>43</v>
      </c>
      <c r="C32" s="76"/>
      <c r="D32" s="77"/>
      <c r="E32" s="98">
        <v>0</v>
      </c>
      <c r="F32" s="86">
        <f>+F29+F31</f>
        <v>75.34</v>
      </c>
      <c r="G32" s="99"/>
      <c r="H32" s="88">
        <f>+H29+H31</f>
        <v>90.489585771120986</v>
      </c>
      <c r="I32" s="99"/>
      <c r="J32" s="88">
        <f>+J29+J31</f>
        <v>82.13</v>
      </c>
      <c r="K32" s="100"/>
      <c r="L32" s="86">
        <f>+L29+L31</f>
        <v>62.832000000000001</v>
      </c>
      <c r="M32" s="99"/>
      <c r="N32" s="86">
        <f>N29+N31</f>
        <v>75.957788103535577</v>
      </c>
      <c r="O32" s="99"/>
      <c r="P32" s="86">
        <f>+P29+P31</f>
        <v>49.13</v>
      </c>
      <c r="Q32" s="99"/>
      <c r="R32" s="88">
        <f>+R29+R31</f>
        <v>39.340000000000003</v>
      </c>
      <c r="S32" s="100"/>
      <c r="T32" s="88">
        <f>+T29+T31</f>
        <v>38.963999999999999</v>
      </c>
    </row>
    <row r="33" spans="2:32" ht="24" customHeight="1">
      <c r="B33" s="113" t="s">
        <v>8</v>
      </c>
      <c r="C33" s="82"/>
      <c r="D33" s="114"/>
      <c r="E33" s="101">
        <v>0.08</v>
      </c>
      <c r="F33" s="102">
        <f>+F5</f>
        <v>41143</v>
      </c>
      <c r="G33" s="101">
        <f>E33</f>
        <v>0.08</v>
      </c>
      <c r="H33" s="103">
        <f>+H5</f>
        <v>41060</v>
      </c>
      <c r="I33" s="101">
        <f>E33</f>
        <v>0.08</v>
      </c>
      <c r="J33" s="103">
        <f>+J5</f>
        <v>41060</v>
      </c>
      <c r="K33" s="104">
        <f>G33</f>
        <v>0.08</v>
      </c>
      <c r="L33" s="102">
        <f>+L5</f>
        <v>40702</v>
      </c>
      <c r="M33" s="101">
        <f>K33</f>
        <v>0.08</v>
      </c>
      <c r="N33" s="102">
        <f>+N5</f>
        <v>40968</v>
      </c>
      <c r="O33" s="101">
        <f>M33</f>
        <v>0.08</v>
      </c>
      <c r="P33" s="102">
        <f>+P5</f>
        <v>39903</v>
      </c>
      <c r="Q33" s="101">
        <f>K33</f>
        <v>0.08</v>
      </c>
      <c r="R33" s="103">
        <f>+R5</f>
        <v>39721</v>
      </c>
      <c r="S33" s="104">
        <f>M33</f>
        <v>0.08</v>
      </c>
      <c r="T33" s="103">
        <f>+T5</f>
        <v>39667</v>
      </c>
    </row>
    <row r="34" spans="2:32" ht="24" customHeight="1">
      <c r="B34" s="115" t="s">
        <v>5</v>
      </c>
      <c r="C34" s="62"/>
      <c r="D34" s="105">
        <v>41275</v>
      </c>
      <c r="E34" s="106">
        <f>($D$34-F5)/365.333*E33</f>
        <v>2.8905135862350235E-2</v>
      </c>
      <c r="F34" s="93">
        <f>F32*E34</f>
        <v>2.1777129358694669</v>
      </c>
      <c r="G34" s="107">
        <f>($D$34-H5)/365.3333*G33</f>
        <v>4.708029626645039E-2</v>
      </c>
      <c r="H34" s="93">
        <f>H32*G34</f>
        <v>4.2602765071327493</v>
      </c>
      <c r="I34" s="107">
        <f>($D$34-J5)/365.3333*I33</f>
        <v>4.708029626645039E-2</v>
      </c>
      <c r="J34" s="93">
        <f>J32*I34</f>
        <v>3.8667047323635702</v>
      </c>
      <c r="K34" s="107">
        <f>($D$34-L5)/365.3333*K33</f>
        <v>0.12547446400314452</v>
      </c>
      <c r="L34" s="93">
        <f>L32*K34</f>
        <v>7.8838115222455762</v>
      </c>
      <c r="M34" s="107">
        <f>($D$34-N5)/365.3333*M33</f>
        <v>6.7226283506047771E-2</v>
      </c>
      <c r="N34" s="93">
        <f>N32*M34</f>
        <v>5.106359797540585</v>
      </c>
      <c r="O34" s="107">
        <f>($D$34-P5)/365.3333*O33</f>
        <v>0.30043798361660434</v>
      </c>
      <c r="P34" s="93">
        <f>P32*O34</f>
        <v>14.760518135083773</v>
      </c>
      <c r="Q34" s="107">
        <f>($D$34-R5)/365.3333*Q33</f>
        <v>0.34029200185146002</v>
      </c>
      <c r="R34" s="93">
        <f>R32*Q34</f>
        <v>13.387087352836438</v>
      </c>
      <c r="S34" s="107">
        <f>($D$34-T5)/365.3333*S33</f>
        <v>0.35211682044861498</v>
      </c>
      <c r="T34" s="93">
        <f>T32*S34</f>
        <v>13.719879791959833</v>
      </c>
      <c r="U34" s="6" t="s">
        <v>17</v>
      </c>
      <c r="V34" s="23">
        <f>MIN(F35:T35)</f>
        <v>52.683879791959832</v>
      </c>
    </row>
    <row r="35" spans="2:32" ht="24" customHeight="1">
      <c r="B35" s="116" t="s">
        <v>43</v>
      </c>
      <c r="C35" s="76"/>
      <c r="D35" s="108"/>
      <c r="E35" s="98"/>
      <c r="F35" s="88">
        <f>F34+F32</f>
        <v>77.517712935869469</v>
      </c>
      <c r="G35" s="99"/>
      <c r="H35" s="88">
        <f>H32+H34</f>
        <v>94.74986227825373</v>
      </c>
      <c r="I35" s="99"/>
      <c r="J35" s="88">
        <f>J32+J34</f>
        <v>85.996704732363568</v>
      </c>
      <c r="K35" s="100"/>
      <c r="L35" s="86">
        <f>L32+L34</f>
        <v>70.715811522245573</v>
      </c>
      <c r="M35" s="99"/>
      <c r="N35" s="86">
        <f>N32+N34</f>
        <v>81.064147901076169</v>
      </c>
      <c r="O35" s="99"/>
      <c r="P35" s="86">
        <f>P32+P34</f>
        <v>63.890518135083774</v>
      </c>
      <c r="Q35" s="99"/>
      <c r="R35" s="88">
        <f>R32+R34</f>
        <v>52.727087352836442</v>
      </c>
      <c r="S35" s="100"/>
      <c r="T35" s="88">
        <f>T32+T34</f>
        <v>52.683879791959832</v>
      </c>
      <c r="U35" s="6" t="s">
        <v>18</v>
      </c>
      <c r="V35" s="23">
        <f>MAX(F35:T35)</f>
        <v>94.74986227825373</v>
      </c>
      <c r="X35" s="28">
        <f>V35-V34</f>
        <v>42.065982486293898</v>
      </c>
      <c r="Z35" s="30">
        <f>(X35-X25)/X25</f>
        <v>-0.40818820362557823</v>
      </c>
    </row>
    <row r="36" spans="2:32" ht="24" customHeight="1">
      <c r="B36" s="220" t="s">
        <v>96</v>
      </c>
      <c r="C36" s="221"/>
      <c r="D36" s="221"/>
      <c r="E36" s="221"/>
      <c r="F36" s="221"/>
      <c r="G36" s="221"/>
      <c r="H36" s="221"/>
      <c r="I36" s="221"/>
      <c r="J36" s="221"/>
      <c r="K36" s="221"/>
      <c r="L36" s="221"/>
      <c r="M36" s="221"/>
      <c r="N36" s="221"/>
      <c r="O36" s="221"/>
      <c r="P36" s="221"/>
      <c r="Q36" s="221"/>
      <c r="R36" s="221"/>
      <c r="S36" s="221"/>
      <c r="T36" s="222"/>
      <c r="V36" s="23"/>
      <c r="Z36" s="6" t="s">
        <v>60</v>
      </c>
    </row>
    <row r="37" spans="2:32" s="8" customFormat="1" ht="24" customHeight="1">
      <c r="B37" s="115"/>
      <c r="C37" s="62"/>
      <c r="D37" s="90" t="s">
        <v>64</v>
      </c>
      <c r="E37" s="223" t="s">
        <v>64</v>
      </c>
      <c r="F37" s="210"/>
      <c r="G37" s="223" t="s">
        <v>64</v>
      </c>
      <c r="H37" s="210"/>
      <c r="I37" s="223" t="s">
        <v>64</v>
      </c>
      <c r="J37" s="211"/>
      <c r="K37" s="210" t="s">
        <v>64</v>
      </c>
      <c r="L37" s="210"/>
      <c r="M37" s="223" t="s">
        <v>64</v>
      </c>
      <c r="N37" s="210"/>
      <c r="O37" s="223" t="s">
        <v>64</v>
      </c>
      <c r="P37" s="210"/>
      <c r="Q37" s="223" t="s">
        <v>64</v>
      </c>
      <c r="R37" s="211"/>
      <c r="S37" s="210" t="s">
        <v>64</v>
      </c>
      <c r="T37" s="211"/>
      <c r="V37" s="6"/>
    </row>
    <row r="38" spans="2:32" ht="24" customHeight="1">
      <c r="B38" s="119" t="s">
        <v>51</v>
      </c>
      <c r="C38" s="62"/>
      <c r="D38" s="144"/>
      <c r="E38" s="145"/>
      <c r="F38" s="146" t="str">
        <f>IF(F39&gt;0,"Inferior",IF(F39=0,"Similar","Superior"))</f>
        <v>Similar</v>
      </c>
      <c r="G38" s="145"/>
      <c r="H38" s="146" t="str">
        <f>IF(H39&gt;0,"Inferior",IF(H39=0,"Similar","Superior"))</f>
        <v>Similar</v>
      </c>
      <c r="I38" s="145"/>
      <c r="J38" s="146" t="str">
        <f>IF(J39&gt;0,"Inferior",IF(J39=0,"Similar","Superior"))</f>
        <v>Similar</v>
      </c>
      <c r="K38" s="147"/>
      <c r="L38" s="148" t="str">
        <f>IF(L39&gt;0,"Inferior",IF(L39=0,"Similar","Superior"))</f>
        <v>Similar</v>
      </c>
      <c r="M38" s="145"/>
      <c r="N38" s="148" t="str">
        <f>IF(N39&gt;0,"Inferior",IF(N39=0,"Similar","Superior"))</f>
        <v>Similar</v>
      </c>
      <c r="O38" s="145"/>
      <c r="P38" s="148" t="str">
        <f>IF(P39&gt;0,"Inferior",IF(P39=0,"Similar","Superior"))</f>
        <v>Similar</v>
      </c>
      <c r="Q38" s="145"/>
      <c r="R38" s="146" t="str">
        <f>IF(R39&gt;0,"Inferior",IF(R39=0,"Similar","Superior"))</f>
        <v>Similar</v>
      </c>
      <c r="S38" s="147"/>
      <c r="T38" s="146" t="str">
        <f>IF(T39&gt;0,"Inferior",IF(T39=0,"Similar","Superior"))</f>
        <v>Similar</v>
      </c>
      <c r="V38" s="23"/>
      <c r="W38" s="6" t="s">
        <v>102</v>
      </c>
    </row>
    <row r="39" spans="2:32" ht="24" customHeight="1">
      <c r="B39" s="149" t="s">
        <v>5</v>
      </c>
      <c r="C39" s="76"/>
      <c r="D39" s="77"/>
      <c r="E39" s="150">
        <v>0</v>
      </c>
      <c r="F39" s="88">
        <v>0</v>
      </c>
      <c r="G39" s="150">
        <v>0</v>
      </c>
      <c r="H39" s="88">
        <f>W39</f>
        <v>0</v>
      </c>
      <c r="I39" s="150">
        <v>0</v>
      </c>
      <c r="J39" s="88">
        <v>0</v>
      </c>
      <c r="K39" s="151">
        <v>0</v>
      </c>
      <c r="L39" s="86">
        <f>W39</f>
        <v>0</v>
      </c>
      <c r="M39" s="150">
        <v>0</v>
      </c>
      <c r="N39" s="86">
        <v>0</v>
      </c>
      <c r="O39" s="150">
        <v>0</v>
      </c>
      <c r="P39" s="86">
        <f>W39</f>
        <v>0</v>
      </c>
      <c r="Q39" s="150">
        <v>0</v>
      </c>
      <c r="R39" s="88">
        <v>0</v>
      </c>
      <c r="S39" s="151">
        <v>0</v>
      </c>
      <c r="T39" s="88">
        <v>0</v>
      </c>
      <c r="V39" s="23"/>
      <c r="W39" s="29"/>
      <c r="Z39" s="6">
        <v>106</v>
      </c>
    </row>
    <row r="40" spans="2:32" ht="24" customHeight="1">
      <c r="B40" s="152"/>
      <c r="C40" s="82"/>
      <c r="D40" s="153" t="s">
        <v>108</v>
      </c>
      <c r="E40" s="154" t="s">
        <v>68</v>
      </c>
      <c r="F40" s="155" t="s">
        <v>61</v>
      </c>
      <c r="G40" s="156">
        <v>46</v>
      </c>
      <c r="H40" s="155" t="s">
        <v>61</v>
      </c>
      <c r="I40" s="156">
        <v>10</v>
      </c>
      <c r="J40" s="155" t="s">
        <v>61</v>
      </c>
      <c r="K40" s="157">
        <v>14</v>
      </c>
      <c r="L40" s="155" t="s">
        <v>61</v>
      </c>
      <c r="M40" s="156">
        <v>20</v>
      </c>
      <c r="N40" s="155" t="s">
        <v>61</v>
      </c>
      <c r="O40" s="156">
        <v>42</v>
      </c>
      <c r="P40" s="155" t="s">
        <v>61</v>
      </c>
      <c r="Q40" s="156">
        <v>3</v>
      </c>
      <c r="R40" s="155" t="s">
        <v>61</v>
      </c>
      <c r="S40" s="157">
        <v>6</v>
      </c>
      <c r="T40" s="155" t="s">
        <v>61</v>
      </c>
      <c r="V40" s="31">
        <v>12</v>
      </c>
      <c r="W40" s="61">
        <v>1.4999999999999999E-2</v>
      </c>
      <c r="X40" s="31" t="s">
        <v>58</v>
      </c>
      <c r="Z40" s="32">
        <v>5.77</v>
      </c>
    </row>
    <row r="41" spans="2:32" ht="24" customHeight="1">
      <c r="B41" s="119" t="s">
        <v>48</v>
      </c>
      <c r="C41" s="62"/>
      <c r="D41" s="158"/>
      <c r="E41" s="145"/>
      <c r="F41" s="146" t="str">
        <f>IF(F42&gt;0,"Inferior",IF(F42=0,"Similar","Superior"))</f>
        <v>Inferior</v>
      </c>
      <c r="G41" s="145"/>
      <c r="H41" s="146" t="str">
        <f>IF(H42&gt;0,"Inferior",IF(H42=0,"Similar","Superior"))</f>
        <v>Inferior</v>
      </c>
      <c r="I41" s="145"/>
      <c r="J41" s="146" t="str">
        <f>IF(J42&gt;0,"Inferior",IF(J42=0,"Similar","Superior"))</f>
        <v>Superior</v>
      </c>
      <c r="K41" s="147"/>
      <c r="L41" s="148" t="str">
        <f>IF(L42&gt;0,"Inferior",IF(L42=0,"Similar","Superior"))</f>
        <v>Inferior</v>
      </c>
      <c r="M41" s="145"/>
      <c r="N41" s="148" t="str">
        <f>IF(N42&gt;0,"Inferior",IF(N42=0,"Similar","Superior"))</f>
        <v>Inferior</v>
      </c>
      <c r="O41" s="145"/>
      <c r="P41" s="148" t="str">
        <f>IF(P42&gt;0,"Inferior",IF(P42=0,"Similar","Superior"))</f>
        <v>Inferior</v>
      </c>
      <c r="Q41" s="145"/>
      <c r="R41" s="146" t="str">
        <f>IF(R42&gt;0,"Inferior",IF(R42=0,"Similar","Superior"))</f>
        <v>Superior</v>
      </c>
      <c r="S41" s="147"/>
      <c r="T41" s="146" t="str">
        <f>IF(T42&gt;0,"Inferior",IF(T42=0,"Similar","Superior"))</f>
        <v>Superior</v>
      </c>
      <c r="W41" s="23"/>
    </row>
    <row r="42" spans="2:32" ht="24" customHeight="1">
      <c r="B42" s="149" t="s">
        <v>5</v>
      </c>
      <c r="C42" s="76"/>
      <c r="D42" s="159"/>
      <c r="E42" s="150">
        <f>(E40-V40)*W40</f>
        <v>0.44999999999999996</v>
      </c>
      <c r="F42" s="88">
        <f>E42*F35</f>
        <v>34.882970821141257</v>
      </c>
      <c r="G42" s="151">
        <f>(G40-$V$40)*$W$40</f>
        <v>0.51</v>
      </c>
      <c r="H42" s="88">
        <f>G42*H35</f>
        <v>48.322429761909405</v>
      </c>
      <c r="I42" s="151">
        <f>(I40-$V$40)*$W$40</f>
        <v>-0.03</v>
      </c>
      <c r="J42" s="88">
        <f>I42*J35</f>
        <v>-2.579901141970907</v>
      </c>
      <c r="K42" s="151">
        <f>(K40-$V$40)*$W$40</f>
        <v>0.03</v>
      </c>
      <c r="L42" s="88">
        <f>K42*L35</f>
        <v>2.1214743456673673</v>
      </c>
      <c r="M42" s="151">
        <f>(M40-$V$40)*$W$40</f>
        <v>0.12</v>
      </c>
      <c r="N42" s="88">
        <f>M42*N35</f>
        <v>9.72769774812914</v>
      </c>
      <c r="O42" s="151">
        <f>(O40-$V$40)*$W$40</f>
        <v>0.44999999999999996</v>
      </c>
      <c r="P42" s="88">
        <f>O42*P35</f>
        <v>28.750733160787696</v>
      </c>
      <c r="Q42" s="151">
        <f>(Q40-$V$40)*$W$40</f>
        <v>-0.13500000000000001</v>
      </c>
      <c r="R42" s="88">
        <f>Q42*R35</f>
        <v>-7.1181567926329201</v>
      </c>
      <c r="S42" s="151">
        <f>(S40-$V$40)*$W$40</f>
        <v>-0.09</v>
      </c>
      <c r="T42" s="88">
        <f>S42*T35</f>
        <v>-4.741549181276385</v>
      </c>
      <c r="AD42" s="6" t="s">
        <v>89</v>
      </c>
    </row>
    <row r="43" spans="2:32" ht="24" customHeight="1">
      <c r="B43" s="113"/>
      <c r="C43" s="82"/>
      <c r="D43" s="97"/>
      <c r="E43" s="212" t="s">
        <v>86</v>
      </c>
      <c r="F43" s="213"/>
      <c r="G43" s="214" t="s">
        <v>88</v>
      </c>
      <c r="H43" s="215"/>
      <c r="I43" s="214" t="s">
        <v>87</v>
      </c>
      <c r="J43" s="215"/>
      <c r="K43" s="216" t="s">
        <v>87</v>
      </c>
      <c r="L43" s="216"/>
      <c r="M43" s="214" t="s">
        <v>88</v>
      </c>
      <c r="N43" s="215"/>
      <c r="O43" s="214" t="s">
        <v>88</v>
      </c>
      <c r="P43" s="216"/>
      <c r="Q43" s="214" t="s">
        <v>87</v>
      </c>
      <c r="R43" s="215"/>
      <c r="S43" s="216" t="s">
        <v>87</v>
      </c>
      <c r="T43" s="215"/>
      <c r="W43" s="6">
        <v>0</v>
      </c>
      <c r="X43" s="31" t="s">
        <v>59</v>
      </c>
      <c r="Z43" s="32">
        <v>19.46</v>
      </c>
      <c r="AD43" s="6" t="s">
        <v>86</v>
      </c>
      <c r="AE43" s="6" t="s">
        <v>88</v>
      </c>
      <c r="AF43" s="6" t="s">
        <v>87</v>
      </c>
    </row>
    <row r="44" spans="2:32" ht="24" customHeight="1">
      <c r="B44" s="119" t="s">
        <v>85</v>
      </c>
      <c r="C44" s="62"/>
      <c r="D44" s="160" t="s">
        <v>87</v>
      </c>
      <c r="E44" s="145"/>
      <c r="F44" s="146" t="str">
        <f>IF(F45&gt;0,"Inferior",IF(F45=0,"Similar","Superior"))</f>
        <v>Superior</v>
      </c>
      <c r="G44" s="147"/>
      <c r="H44" s="146" t="str">
        <f>IF(H45&gt;0,"Inferior",IF(H45=0,"Similar","Superior"))</f>
        <v>Superior</v>
      </c>
      <c r="I44" s="145"/>
      <c r="J44" s="146" t="str">
        <f>IF(J45&gt;0,"Inferior",IF(J45=0,"Similar","Superior"))</f>
        <v>Similar</v>
      </c>
      <c r="K44" s="147"/>
      <c r="L44" s="148" t="str">
        <f>IF(L45&gt;0,"Inferior",IF(L45=0,"Similar","Superior"))</f>
        <v>Similar</v>
      </c>
      <c r="M44" s="145"/>
      <c r="N44" s="148" t="str">
        <f>IF(N45&gt;0,"Inferior",IF(N45=0,"Similar","Superior"))</f>
        <v>Superior</v>
      </c>
      <c r="O44" s="145"/>
      <c r="P44" s="148" t="str">
        <f>IF(P45&gt;0,"Inferior",IF(P45=0,"Similar","Superior"))</f>
        <v>Superior</v>
      </c>
      <c r="Q44" s="145"/>
      <c r="R44" s="146" t="str">
        <f>IF(R45&gt;0,"Inferior",IF(R45=0,"Similar","Superior"))</f>
        <v>Similar</v>
      </c>
      <c r="S44" s="147"/>
      <c r="T44" s="146" t="str">
        <f>IF(T45&gt;0,"Inferior",IF(T45=0,"Similar","Superior"))</f>
        <v>Similar</v>
      </c>
      <c r="AD44" s="6">
        <v>64.17</v>
      </c>
      <c r="AE44" s="6">
        <v>49.18</v>
      </c>
      <c r="AF44" s="6">
        <v>37.4</v>
      </c>
    </row>
    <row r="45" spans="2:32" ht="24" customHeight="1">
      <c r="B45" s="149" t="s">
        <v>5</v>
      </c>
      <c r="C45" s="76"/>
      <c r="D45" s="159"/>
      <c r="E45" s="150">
        <f>AD45</f>
        <v>-0.41717313386317595</v>
      </c>
      <c r="F45" s="88">
        <f>E45*F35</f>
        <v>-32.33830723536272</v>
      </c>
      <c r="G45" s="151">
        <f>AE45</f>
        <v>-0.23952826352175682</v>
      </c>
      <c r="H45" s="88">
        <f>G45*H35</f>
        <v>-22.695269980435725</v>
      </c>
      <c r="I45" s="150">
        <v>0</v>
      </c>
      <c r="J45" s="88">
        <v>0</v>
      </c>
      <c r="K45" s="151">
        <v>0</v>
      </c>
      <c r="L45" s="88">
        <v>0</v>
      </c>
      <c r="M45" s="151">
        <f>$AE$45</f>
        <v>-0.23952826352175682</v>
      </c>
      <c r="N45" s="88">
        <f>M45*N35</f>
        <v>-19.417154580615644</v>
      </c>
      <c r="O45" s="151">
        <f>$AE$45</f>
        <v>-0.23952826352175682</v>
      </c>
      <c r="P45" s="88">
        <f>O45*P35</f>
        <v>-15.30358486440193</v>
      </c>
      <c r="Q45" s="150">
        <v>0</v>
      </c>
      <c r="R45" s="88">
        <v>0</v>
      </c>
      <c r="S45" s="151">
        <v>0</v>
      </c>
      <c r="T45" s="88">
        <v>0</v>
      </c>
      <c r="AC45" s="6" t="s">
        <v>90</v>
      </c>
      <c r="AD45" s="30">
        <f>(AF44-AD44)/AD44</f>
        <v>-0.41717313386317595</v>
      </c>
      <c r="AE45" s="30">
        <f>(AF44-AE44)/AE44</f>
        <v>-0.23952826352175682</v>
      </c>
    </row>
    <row r="46" spans="2:32" ht="24" customHeight="1">
      <c r="B46" s="152"/>
      <c r="C46" s="82"/>
      <c r="D46" s="97"/>
      <c r="E46" s="205">
        <f>F6</f>
        <v>212375</v>
      </c>
      <c r="F46" s="209"/>
      <c r="G46" s="202">
        <f>H6</f>
        <v>51276</v>
      </c>
      <c r="H46" s="203"/>
      <c r="I46" s="202">
        <f>J6</f>
        <v>121638</v>
      </c>
      <c r="J46" s="203"/>
      <c r="K46" s="204">
        <f>L6</f>
        <v>140684</v>
      </c>
      <c r="L46" s="204"/>
      <c r="M46" s="202">
        <f>N6</f>
        <v>67146</v>
      </c>
      <c r="N46" s="203"/>
      <c r="O46" s="202">
        <f>P6</f>
        <v>52920</v>
      </c>
      <c r="P46" s="204"/>
      <c r="Q46" s="202">
        <f>R6</f>
        <v>127082</v>
      </c>
      <c r="R46" s="203"/>
      <c r="S46" s="204">
        <f>T6</f>
        <v>139588</v>
      </c>
      <c r="T46" s="203"/>
      <c r="W46" s="31">
        <v>-2</v>
      </c>
      <c r="X46" s="6" t="s">
        <v>69</v>
      </c>
    </row>
    <row r="47" spans="2:32" ht="24" customHeight="1">
      <c r="B47" s="119" t="s">
        <v>49</v>
      </c>
      <c r="C47" s="62"/>
      <c r="D47" s="158">
        <f>D22</f>
        <v>137562</v>
      </c>
      <c r="E47" s="145"/>
      <c r="F47" s="146" t="str">
        <f>IF(F48&gt;0,"Inferior",IF(F48=0,"Similar","Superior"))</f>
        <v>Inferior</v>
      </c>
      <c r="G47" s="145"/>
      <c r="H47" s="146" t="str">
        <f>IF(H48&gt;0,"Inferior",IF(H48=0,"Similar","Superior"))</f>
        <v>Superior</v>
      </c>
      <c r="I47" s="145"/>
      <c r="J47" s="146" t="str">
        <f>IF(J48&gt;0,"Inferior",IF(J48=0,"Similar","Superior"))</f>
        <v>Superior</v>
      </c>
      <c r="K47" s="147"/>
      <c r="L47" s="148" t="str">
        <f>IF(L48&gt;0,"Inferior",IF(L48=0,"Similar","Superior"))</f>
        <v>Inferior</v>
      </c>
      <c r="M47" s="145"/>
      <c r="N47" s="148" t="str">
        <f>IF(N48&gt;0,"Inferior",IF(N48=0,"Similar","Superior"))</f>
        <v>Superior</v>
      </c>
      <c r="O47" s="145"/>
      <c r="P47" s="148" t="str">
        <f>IF(P48&gt;0,"Inferior",IF(P48=0,"Similar","Superior"))</f>
        <v>Superior</v>
      </c>
      <c r="Q47" s="145"/>
      <c r="R47" s="146" t="str">
        <f>IF(R48&gt;0,"Inferior",IF(R48=0,"Similar","Superior"))</f>
        <v>Superior</v>
      </c>
      <c r="S47" s="147"/>
      <c r="T47" s="146" t="str">
        <f>IF(T48&gt;0,"Inferior",IF(T48=0,"Similar","Superior"))</f>
        <v>Inferior</v>
      </c>
    </row>
    <row r="48" spans="2:32" ht="24" customHeight="1">
      <c r="B48" s="149" t="s">
        <v>5</v>
      </c>
      <c r="C48" s="76"/>
      <c r="D48" s="159"/>
      <c r="E48" s="161">
        <f>F48/F35</f>
        <v>0.19302169056998086</v>
      </c>
      <c r="F48" s="88">
        <f>-(E46-$D$47)/10000*$W$46</f>
        <v>14.9626</v>
      </c>
      <c r="G48" s="161">
        <f>H48/H35</f>
        <v>-0.18213430167656025</v>
      </c>
      <c r="H48" s="88">
        <f>-(G46-$D$47)/10000*$W$46</f>
        <v>-17.257200000000001</v>
      </c>
      <c r="I48" s="161">
        <f>J48/J35</f>
        <v>-3.7033977172865419E-2</v>
      </c>
      <c r="J48" s="88">
        <f>-(I46-$D$47)/10000*$W$46</f>
        <v>-3.1848000000000001</v>
      </c>
      <c r="K48" s="161">
        <f>L48/L35</f>
        <v>8.8297084705529823E-3</v>
      </c>
      <c r="L48" s="88">
        <f>-(K46-$D$47)/10000*$W$46</f>
        <v>0.62439999999999996</v>
      </c>
      <c r="M48" s="161">
        <f>N48/N35</f>
        <v>-0.17372908202508891</v>
      </c>
      <c r="N48" s="88">
        <f>-(M46-$D$47)/10000*$W$46</f>
        <v>-14.0832</v>
      </c>
      <c r="O48" s="161">
        <f>P48/P35</f>
        <v>-0.26495950407239255</v>
      </c>
      <c r="P48" s="88">
        <f>-(O46-$D$47)/10000*$W$46</f>
        <v>-16.9284</v>
      </c>
      <c r="Q48" s="161">
        <f>R48/R35</f>
        <v>-3.9751863894436155E-2</v>
      </c>
      <c r="R48" s="88">
        <f>-(Q46-$D$47)/10000*$W$46</f>
        <v>-2.0960000000000001</v>
      </c>
      <c r="S48" s="161">
        <f>T48/T$35</f>
        <v>7.691157173694679E-3</v>
      </c>
      <c r="T48" s="88">
        <f>-(S46-$D$47)/10000*$W$46</f>
        <v>0.4052</v>
      </c>
      <c r="V48" s="33"/>
    </row>
    <row r="49" spans="2:33" ht="24" customHeight="1">
      <c r="B49" s="152"/>
      <c r="C49" s="82"/>
      <c r="D49" s="97" t="s">
        <v>40</v>
      </c>
      <c r="E49" s="205">
        <v>18900</v>
      </c>
      <c r="F49" s="206"/>
      <c r="G49" s="202">
        <v>88000</v>
      </c>
      <c r="H49" s="207"/>
      <c r="I49" s="202">
        <v>9500</v>
      </c>
      <c r="J49" s="207"/>
      <c r="K49" s="204">
        <v>47500</v>
      </c>
      <c r="L49" s="208"/>
      <c r="M49" s="202">
        <v>24100</v>
      </c>
      <c r="N49" s="203"/>
      <c r="O49" s="202">
        <v>2500</v>
      </c>
      <c r="P49" s="208"/>
      <c r="Q49" s="202">
        <v>11200</v>
      </c>
      <c r="R49" s="207"/>
      <c r="S49" s="204">
        <v>6800</v>
      </c>
      <c r="T49" s="207"/>
    </row>
    <row r="50" spans="2:33" ht="24" customHeight="1">
      <c r="B50" s="119" t="s">
        <v>94</v>
      </c>
      <c r="C50" s="62"/>
      <c r="D50" s="158">
        <v>35000</v>
      </c>
      <c r="E50" s="145"/>
      <c r="F50" s="146" t="str">
        <f>IF(F51&gt;0,"Inferior",IF(F51=0,"Similar","Superior"))</f>
        <v>Inferior</v>
      </c>
      <c r="G50" s="145"/>
      <c r="H50" s="146" t="str">
        <f>IF(H51&gt;0,"Inferior",IF(H51=0,"Similar","Superior"))</f>
        <v>Superior</v>
      </c>
      <c r="I50" s="145"/>
      <c r="J50" s="146" t="str">
        <f>IF(J51&gt;0,"Inferior",IF(J51=0,"Similar","Superior"))</f>
        <v>Inferior</v>
      </c>
      <c r="K50" s="147"/>
      <c r="L50" s="148" t="str">
        <f>IF(L51&gt;0,"Inferior",IF(L51=0,"Similar","Superior"))</f>
        <v>Superior</v>
      </c>
      <c r="M50" s="145"/>
      <c r="N50" s="148" t="str">
        <f>IF(N51&gt;0,"Inferior",IF(N51=0,"Similar","Superior"))</f>
        <v>Inferior</v>
      </c>
      <c r="O50" s="145"/>
      <c r="P50" s="148" t="str">
        <f>IF(P51&gt;0,"Inferior",IF(P51=0,"Similar","Superior"))</f>
        <v>Inferior</v>
      </c>
      <c r="Q50" s="145"/>
      <c r="R50" s="146" t="str">
        <f>IF(R51&gt;0,"Inferior",IF(R51=0,"Similar","Superior"))</f>
        <v>Inferior</v>
      </c>
      <c r="S50" s="147"/>
      <c r="T50" s="146" t="str">
        <f>IF(T51&gt;0,"Inferior",IF(T51=0,"Similar","Superior"))</f>
        <v>Inferior</v>
      </c>
      <c r="W50" s="6">
        <v>6</v>
      </c>
      <c r="X50" s="6" t="s">
        <v>70</v>
      </c>
    </row>
    <row r="51" spans="2:33" ht="24" customHeight="1">
      <c r="B51" s="149" t="s">
        <v>5</v>
      </c>
      <c r="C51" s="76"/>
      <c r="D51" s="159"/>
      <c r="E51" s="161">
        <f>F51/F$35</f>
        <v>0.12461667964832417</v>
      </c>
      <c r="F51" s="88">
        <f>($D$50-E49)/10000*$W$50</f>
        <v>9.66</v>
      </c>
      <c r="G51" s="161">
        <f>H51/H$35</f>
        <v>-0.33562054060418928</v>
      </c>
      <c r="H51" s="88">
        <f>($D$50-G49)/10000*$W$50</f>
        <v>-31.799999999999997</v>
      </c>
      <c r="I51" s="161">
        <f>J51/J$35</f>
        <v>0.17791379387868653</v>
      </c>
      <c r="J51" s="88">
        <f>($D$50-I49)/10000*$W$50</f>
        <v>15.299999999999999</v>
      </c>
      <c r="K51" s="161">
        <f>L51/L$35</f>
        <v>-0.10605831763156209</v>
      </c>
      <c r="L51" s="88">
        <f>($D$50-K49)/10000*$W$50</f>
        <v>-7.5</v>
      </c>
      <c r="M51" s="161">
        <f>N51/N$35</f>
        <v>8.067684875909463E-2</v>
      </c>
      <c r="N51" s="88">
        <f>($D$50-M49)/10000*$W$50</f>
        <v>6.5400000000000009</v>
      </c>
      <c r="O51" s="161">
        <f>P51/P$35</f>
        <v>0.3052096080794201</v>
      </c>
      <c r="P51" s="88">
        <f>($D$50-O49)/10000*$W$50</f>
        <v>19.5</v>
      </c>
      <c r="Q51" s="161">
        <f>R51/R$35</f>
        <v>0.27082853836476539</v>
      </c>
      <c r="R51" s="88">
        <f>($D$50-Q49)/10000*$W$50</f>
        <v>14.28</v>
      </c>
      <c r="S51" s="161">
        <f>T51/T$35</f>
        <v>0.32116085730235427</v>
      </c>
      <c r="T51" s="88">
        <f>($D$50-S49)/10000*$W$50</f>
        <v>16.919999999999998</v>
      </c>
      <c r="X51" s="34"/>
      <c r="Y51" s="34"/>
    </row>
    <row r="52" spans="2:33" ht="24" customHeight="1">
      <c r="B52" s="162"/>
      <c r="C52" s="163"/>
      <c r="D52" s="163"/>
      <c r="E52" s="164">
        <v>5</v>
      </c>
      <c r="F52" s="165"/>
      <c r="G52" s="166">
        <v>2</v>
      </c>
      <c r="H52" s="165"/>
      <c r="I52" s="164">
        <v>4</v>
      </c>
      <c r="J52" s="167"/>
      <c r="K52" s="168">
        <v>3</v>
      </c>
      <c r="L52" s="165"/>
      <c r="M52" s="166">
        <v>3</v>
      </c>
      <c r="N52" s="165"/>
      <c r="O52" s="166">
        <v>3</v>
      </c>
      <c r="P52" s="169"/>
      <c r="Q52" s="164">
        <v>2</v>
      </c>
      <c r="R52" s="167"/>
      <c r="S52" s="168">
        <v>3</v>
      </c>
      <c r="T52" s="167"/>
    </row>
    <row r="53" spans="2:33" ht="24" customHeight="1">
      <c r="B53" s="170" t="s">
        <v>12</v>
      </c>
      <c r="C53" s="163"/>
      <c r="D53" s="163">
        <v>4</v>
      </c>
      <c r="E53" s="171"/>
      <c r="F53" s="146" t="str">
        <f>IF(F54&gt;0,"Inferior",IF(F54=0,"Similar","Superior"))</f>
        <v>Superior</v>
      </c>
      <c r="G53" s="172"/>
      <c r="H53" s="146" t="str">
        <f>IF(H54&gt;0,"Inferior",IF(H54=0,"Similar","Superior"))</f>
        <v>Inferior</v>
      </c>
      <c r="I53" s="171"/>
      <c r="J53" s="146" t="str">
        <f>IF(J54&gt;0,"Inferior",IF(J54=0,"Similar","Superior"))</f>
        <v>Similar</v>
      </c>
      <c r="K53" s="172"/>
      <c r="L53" s="146" t="str">
        <f>IF(L54&gt;0,"Inferior",IF(L54=0,"Similar","Superior"))</f>
        <v>Inferior</v>
      </c>
      <c r="M53" s="172"/>
      <c r="N53" s="146" t="str">
        <f>IF(N54&gt;0,"Inferior",IF(N54=0,"Similar","Superior"))</f>
        <v>Inferior</v>
      </c>
      <c r="O53" s="172"/>
      <c r="P53" s="146" t="str">
        <f>IF(P54&gt;0,"Inferior",IF(P54=0,"Similar","Superior"))</f>
        <v>Inferior</v>
      </c>
      <c r="Q53" s="171"/>
      <c r="R53" s="146" t="str">
        <f>IF(R54&gt;0,"Inferior",IF(R54=0,"Similar","Superior"))</f>
        <v>Inferior</v>
      </c>
      <c r="S53" s="172"/>
      <c r="T53" s="146" t="str">
        <f>IF(T54&gt;0,"Inferior",IF(T54=0,"Similar","Superior"))</f>
        <v>Inferior</v>
      </c>
      <c r="W53" s="6">
        <v>14</v>
      </c>
      <c r="X53" s="6" t="s">
        <v>59</v>
      </c>
    </row>
    <row r="54" spans="2:33" ht="24" customHeight="1" thickBot="1">
      <c r="B54" s="173" t="s">
        <v>5</v>
      </c>
      <c r="C54" s="174"/>
      <c r="D54" s="175"/>
      <c r="E54" s="161">
        <f>F54/F$35</f>
        <v>-0.1806038835482959</v>
      </c>
      <c r="F54" s="176">
        <f>($D$53-E52)*$W$53</f>
        <v>-14</v>
      </c>
      <c r="G54" s="161">
        <f>H54/H$35</f>
        <v>0.29551494141249374</v>
      </c>
      <c r="H54" s="176">
        <f>($D$53-G52)*$W$53</f>
        <v>28</v>
      </c>
      <c r="I54" s="161">
        <f>J54/J$35</f>
        <v>0</v>
      </c>
      <c r="J54" s="176">
        <f>($D$53-I52)*$W$53</f>
        <v>0</v>
      </c>
      <c r="K54" s="161">
        <f>L54/L$35</f>
        <v>0.19797552624558259</v>
      </c>
      <c r="L54" s="176">
        <f>($D$53-K52)*$W$53</f>
        <v>14</v>
      </c>
      <c r="M54" s="161">
        <f>N54/N$35</f>
        <v>0.17270273434668573</v>
      </c>
      <c r="N54" s="176">
        <f>($D$53-M52)*$W$53</f>
        <v>14</v>
      </c>
      <c r="O54" s="161">
        <f>P54/P$35</f>
        <v>0.21912484682625033</v>
      </c>
      <c r="P54" s="176">
        <f>($D$53-O52)*$W$53</f>
        <v>14</v>
      </c>
      <c r="Q54" s="161">
        <f>R54/R$35</f>
        <v>0.53103634973483405</v>
      </c>
      <c r="R54" s="176">
        <f>($D$53-Q52)*$W$53</f>
        <v>28</v>
      </c>
      <c r="S54" s="161">
        <f>T54/T$35</f>
        <v>0.26573593393811823</v>
      </c>
      <c r="T54" s="176">
        <f>($D$53-S52)*$W$53</f>
        <v>14</v>
      </c>
    </row>
    <row r="55" spans="2:33" s="34" customFormat="1" ht="26.15" customHeight="1">
      <c r="B55" s="177" t="s">
        <v>42</v>
      </c>
      <c r="C55" s="178"/>
      <c r="D55" s="179"/>
      <c r="E55" s="180"/>
      <c r="F55" s="181">
        <f>F35+F39+F42+F54+F45+F51+F48</f>
        <v>90.684976521647997</v>
      </c>
      <c r="G55" s="182"/>
      <c r="H55" s="181">
        <f>H35+H39+H42+H54+H45+H51+H48</f>
        <v>99.319822059727386</v>
      </c>
      <c r="I55" s="182"/>
      <c r="J55" s="181">
        <f>J35+J39+J42+J54+J45+J51+J48</f>
        <v>95.532003590392662</v>
      </c>
      <c r="K55" s="183"/>
      <c r="L55" s="184">
        <f>L35+L39+L42+L54+L45+L51+L48</f>
        <v>79.961685867912934</v>
      </c>
      <c r="M55" s="182"/>
      <c r="N55" s="184">
        <f>N35+N39+N42+N54+N45+N51+N48</f>
        <v>77.831491068589671</v>
      </c>
      <c r="O55" s="182"/>
      <c r="P55" s="184">
        <f>P35+P39+P42+P54+P45+P51+P48</f>
        <v>93.909266431469547</v>
      </c>
      <c r="Q55" s="182"/>
      <c r="R55" s="181">
        <f>R35+R39+R42+R54+R45+R51+R48</f>
        <v>85.792930560203516</v>
      </c>
      <c r="S55" s="183"/>
      <c r="T55" s="181">
        <f>T35+T39+T42+T54+T45+T51+T48</f>
        <v>79.267530610683437</v>
      </c>
      <c r="U55" s="34" t="s">
        <v>14</v>
      </c>
      <c r="V55" s="28">
        <f>AVERAGE(F55:T55)</f>
        <v>87.787463338828402</v>
      </c>
      <c r="X55" s="6"/>
      <c r="Y55" s="6"/>
      <c r="AE55" s="6"/>
      <c r="AF55" s="6"/>
      <c r="AG55" s="6"/>
    </row>
    <row r="56" spans="2:33" s="120" customFormat="1" ht="26.15" customHeight="1">
      <c r="B56" s="121"/>
      <c r="C56" s="45"/>
      <c r="D56" s="122"/>
      <c r="E56" s="125" t="s">
        <v>19</v>
      </c>
      <c r="F56" s="126">
        <f>(F$25+F$28+F$31+F$34+F$39+F$42+F$54+F51+F48+F45)/F$23</f>
        <v>0.20367635414982743</v>
      </c>
      <c r="G56" s="126"/>
      <c r="H56" s="126">
        <f>(H$25+H$28+H$31+H$34+H$39+H$42+H$54+H51+H48+H45)/H$23</f>
        <v>5.6593851699227926E-2</v>
      </c>
      <c r="I56" s="126"/>
      <c r="J56" s="130">
        <f>(J$25+J$28+J$31+J$34+J$39+J$42+J$54+J51+J48+J45)/J$23</f>
        <v>0.16318036759275129</v>
      </c>
      <c r="K56" s="126"/>
      <c r="L56" s="126">
        <f>(L$25+L$28+L$31+L$34+L$39+L$42+L$54+L51+L48+L45)/L$23</f>
        <v>1.1634655267292464</v>
      </c>
      <c r="M56" s="126"/>
      <c r="N56" s="130">
        <f>(N$25+N$28+N$31+N$34+N$39+N$42+N$54+N51+N48+N45)/N$23</f>
        <v>-0.15712052124117762</v>
      </c>
      <c r="O56" s="126"/>
      <c r="P56" s="126">
        <f>(P$25+P$28+P$31+P$34+P$39+P$42+P$54+P51+P48+P45)/P$23</f>
        <v>0.91144446227293985</v>
      </c>
      <c r="Q56" s="126"/>
      <c r="R56" s="126">
        <f>(R$25+R$28+R$31+R$34+R$39+R$42+R$54+R51+R48+R45)/R$23</f>
        <v>1.1808065724505212</v>
      </c>
      <c r="S56" s="126"/>
      <c r="T56" s="132">
        <f>(T$25+T$28+T$31+T$34+T$39+T$42+T$54+T51+T48+T45)/T$23</f>
        <v>2.4584437439216158</v>
      </c>
      <c r="V56" s="123"/>
      <c r="X56" s="124"/>
      <c r="Y56" s="124"/>
      <c r="AE56" s="124"/>
      <c r="AF56" s="124"/>
      <c r="AG56" s="124"/>
    </row>
    <row r="57" spans="2:33" s="120" customFormat="1" ht="26.15" customHeight="1">
      <c r="B57" s="121"/>
      <c r="C57" s="45"/>
      <c r="D57" s="122"/>
      <c r="E57" s="127" t="s">
        <v>20</v>
      </c>
      <c r="F57" s="128">
        <f>(ABS(F$25)+ABS(F$28)+ABS(F$31)+ABS(F$34)+ABS(F$39)+ABS(F$42)+ABS(F$54)+ABS(F$51)+ABS(F$45)+ABS(F$48)+ABS(F$51))/F$23</f>
        <v>1.5620067824843831</v>
      </c>
      <c r="G57" s="129"/>
      <c r="H57" s="128">
        <f>(ABS(H$25)+ABS(H$28)+ABS(H$31)+ABS(H$34)+ABS(H$39)+ABS(H$42)+ABS(H$54)+ABS(H$51)+ABS(H$45)+ABS(H$48)+ABS(H$51))/H$23</f>
        <v>1.9962296859399669</v>
      </c>
      <c r="I57" s="129"/>
      <c r="J57" s="131">
        <f>(ABS(J$25)+ABS(J$28)+ABS(J$31)+ABS(J$34)+ABS(J$39)+ABS(J$42)+ABS(J$54)+ABS(J$51)+ABS(J$45)+ABS(J$48)+ABS(J$51))/J$23</f>
        <v>0.4898503089532994</v>
      </c>
      <c r="K57" s="129"/>
      <c r="L57" s="128">
        <f>(ABS(L$25)+ABS(L$28)+ABS(L$31)+ABS(L$34)+ABS(L$39)+ABS(L$42)+ABS(L$54)+ABS(L$51)+ABS(L$45)+ABS(L$48)+ABS(L$51))/L$23</f>
        <v>1.7722317604954803</v>
      </c>
      <c r="M57" s="129"/>
      <c r="N57" s="131">
        <f>(ABS(N$25)+ABS(N$28)+ABS(N$31)+ABS(N$34)+ABS(N$39)+ABS(N$42)+ABS(N$54)+ABS(N$51)+ABS(N$45)+ABS(N$48)+ABS(N$51))/N$23</f>
        <v>0.99411548649285042</v>
      </c>
      <c r="O57" s="129"/>
      <c r="P57" s="128">
        <f>(ABS(P$25)+ABS(P$28)+ABS(P$31)+ABS(P$34)+ABS(P$39)+ABS(P$42)+ABS(P$54)+ABS(P$51)+ABS(P$45)+ABS(P$48)+ABS(P$51))/P$23</f>
        <v>2.6204607400829105</v>
      </c>
      <c r="Q57" s="129"/>
      <c r="R57" s="128">
        <f>(ABS(R$25)+ABS(R$28)+ABS(R$31)+ABS(R$34)+ABS(R$39)+ABS(R$42)+ABS(R$54)+ABS(R$51)+ABS(R$45)+ABS(R$48)+ABS(R$51))/R$23</f>
        <v>2.0122329472666336</v>
      </c>
      <c r="S57" s="129"/>
      <c r="T57" s="133">
        <f>(ABS(T$25)+ABS(T$28)+ABS(T$31)+ABS(T$34)+ABS(T$39)+ABS(T$42)+ABS(T$54)+ABS(T$51)+ABS(T$45)+ABS(T$48)+ABS(T$51))/T$23</f>
        <v>3.6104113862668505</v>
      </c>
      <c r="V57" s="123"/>
      <c r="X57" s="124"/>
      <c r="Y57" s="124"/>
      <c r="AE57" s="124"/>
      <c r="AF57" s="124"/>
      <c r="AG57" s="124"/>
    </row>
    <row r="58" spans="2:33" s="120" customFormat="1" ht="26.15" customHeight="1">
      <c r="B58" s="121"/>
      <c r="C58" s="45"/>
      <c r="D58" s="122"/>
      <c r="E58" s="1"/>
      <c r="F58" s="39"/>
      <c r="G58" s="38"/>
      <c r="H58" s="39"/>
      <c r="I58" s="38"/>
      <c r="J58" s="39"/>
      <c r="K58" s="38"/>
      <c r="L58" s="39"/>
      <c r="M58" s="38"/>
      <c r="N58" s="39"/>
      <c r="O58" s="38"/>
      <c r="P58" s="39"/>
      <c r="Q58" s="38"/>
      <c r="R58" s="39"/>
      <c r="S58" s="38"/>
      <c r="T58" s="39"/>
      <c r="V58" s="123"/>
      <c r="X58" s="124"/>
      <c r="Y58" s="124"/>
      <c r="AE58" s="124"/>
      <c r="AF58" s="124"/>
      <c r="AG58" s="124"/>
    </row>
    <row r="59" spans="2:33">
      <c r="B59" s="192" t="str">
        <f>B18</f>
        <v>3205 Vicksburg Ln  N</v>
      </c>
      <c r="C59" s="193"/>
      <c r="D59" s="194"/>
      <c r="E59" s="2"/>
      <c r="F59" s="39"/>
      <c r="G59" s="38"/>
      <c r="H59" s="39"/>
      <c r="I59" s="38"/>
      <c r="J59" s="39"/>
      <c r="K59" s="38"/>
      <c r="L59" s="39"/>
      <c r="M59" s="38"/>
      <c r="N59" s="39"/>
      <c r="O59" s="38"/>
      <c r="P59" s="39"/>
      <c r="Q59" s="38"/>
      <c r="R59" s="39"/>
      <c r="S59" s="38"/>
      <c r="T59" s="39"/>
      <c r="U59" s="6" t="s">
        <v>15</v>
      </c>
      <c r="V59" s="28">
        <f>MEDIAN(F55:T55)</f>
        <v>88.238953540925763</v>
      </c>
      <c r="X59" s="6" t="s">
        <v>34</v>
      </c>
    </row>
    <row r="60" spans="2:33" ht="18.45" thickBot="1">
      <c r="B60" s="195"/>
      <c r="C60" s="196"/>
      <c r="D60" s="197"/>
      <c r="E60" s="37" t="s">
        <v>100</v>
      </c>
      <c r="F60" s="112">
        <f>F35+F39+F42+F45+F48+F51</f>
        <v>104.684976521648</v>
      </c>
      <c r="G60" s="37"/>
      <c r="H60" s="112">
        <f>H35+H39+H42+H45+H48+H51</f>
        <v>71.3198220597274</v>
      </c>
      <c r="I60" s="37"/>
      <c r="J60" s="112">
        <f>J35+J39+J42+J45+J48+J51</f>
        <v>95.532003590392662</v>
      </c>
      <c r="K60" s="37"/>
      <c r="L60" s="112">
        <f>L35+L39+L42+L45+L48+L51</f>
        <v>65.961685867912934</v>
      </c>
      <c r="M60" s="38"/>
      <c r="N60" s="112">
        <f>N35+N39+N42+N45+N48+N51</f>
        <v>63.831491068589671</v>
      </c>
      <c r="O60" s="38"/>
      <c r="P60" s="112">
        <f>P35+P39+P42+P45+P48+P51</f>
        <v>79.909266431469547</v>
      </c>
      <c r="Q60" s="38"/>
      <c r="R60" s="112">
        <f>R35+R39+R42+R45+R48+R51</f>
        <v>57.792930560203516</v>
      </c>
      <c r="S60" s="38"/>
      <c r="T60" s="112">
        <f>T35+T39+T42+T45+T48+T51</f>
        <v>65.267530610683451</v>
      </c>
      <c r="U60" s="6" t="s">
        <v>16</v>
      </c>
      <c r="V60" s="28">
        <f>STDEV(F55:T55)</f>
        <v>8.2442780910022115</v>
      </c>
      <c r="X60" s="28">
        <f>V62-V61</f>
        <v>21.488330991137715</v>
      </c>
    </row>
    <row r="61" spans="2:33">
      <c r="B61" s="134"/>
      <c r="C61" s="2"/>
      <c r="D61" s="135"/>
      <c r="E61" s="2"/>
      <c r="F61" s="39"/>
      <c r="G61" s="38"/>
      <c r="H61" s="39"/>
      <c r="I61" s="38"/>
      <c r="J61" s="39"/>
      <c r="K61" s="38"/>
      <c r="L61" s="39"/>
      <c r="M61" s="38"/>
      <c r="N61" s="39"/>
      <c r="O61" s="38"/>
      <c r="P61" s="39"/>
      <c r="Q61" s="38"/>
      <c r="R61" s="39"/>
      <c r="S61" s="38"/>
      <c r="T61" s="39"/>
      <c r="U61" s="6" t="s">
        <v>17</v>
      </c>
      <c r="V61" s="28">
        <f>MIN(F55:T55)</f>
        <v>77.831491068589671</v>
      </c>
      <c r="X61" s="30">
        <f>(X60-X25)/X25</f>
        <v>-0.69768808397386439</v>
      </c>
    </row>
    <row r="62" spans="2:33">
      <c r="B62" s="134" t="s">
        <v>38</v>
      </c>
      <c r="C62" s="2"/>
      <c r="D62" s="136">
        <f>MIN(F55:T55)</f>
        <v>77.831491068589671</v>
      </c>
      <c r="E62" s="2"/>
      <c r="F62" s="41"/>
      <c r="G62" s="38"/>
      <c r="H62" s="39"/>
      <c r="I62" s="38"/>
      <c r="J62" s="39"/>
      <c r="K62" s="38"/>
      <c r="L62" s="39"/>
      <c r="M62" s="38"/>
      <c r="N62" s="39"/>
      <c r="O62" s="38"/>
      <c r="P62" s="39"/>
      <c r="Q62" s="38"/>
      <c r="R62" s="39"/>
      <c r="S62" s="38"/>
      <c r="T62" s="39"/>
      <c r="U62" s="6" t="s">
        <v>18</v>
      </c>
      <c r="V62" s="28">
        <f>MAX(F55:T55)</f>
        <v>99.319822059727386</v>
      </c>
    </row>
    <row r="63" spans="2:33">
      <c r="B63" s="134" t="s">
        <v>37</v>
      </c>
      <c r="C63" s="2"/>
      <c r="D63" s="136">
        <f>MAX(F55:T55)</f>
        <v>99.319822059727386</v>
      </c>
      <c r="E63" s="43"/>
      <c r="F63" s="26"/>
      <c r="G63" s="42"/>
      <c r="H63" s="38"/>
      <c r="I63" s="43"/>
      <c r="J63" s="26"/>
      <c r="K63" s="43"/>
      <c r="L63" s="26"/>
      <c r="M63" s="43"/>
      <c r="N63" s="26"/>
      <c r="O63" s="43"/>
      <c r="P63" s="26"/>
      <c r="Q63" s="43"/>
      <c r="R63" s="26"/>
      <c r="S63" s="43"/>
      <c r="T63" s="26"/>
      <c r="V63" s="40"/>
      <c r="W63" s="6" t="s">
        <v>35</v>
      </c>
    </row>
    <row r="64" spans="2:33">
      <c r="B64" s="134" t="s">
        <v>39</v>
      </c>
      <c r="C64" s="2"/>
      <c r="D64" s="136">
        <f>V59</f>
        <v>88.238953540925763</v>
      </c>
      <c r="E64" s="38"/>
      <c r="F64" s="38"/>
      <c r="G64" s="44"/>
      <c r="H64" s="38"/>
      <c r="I64" s="26"/>
      <c r="J64" s="38"/>
      <c r="K64" s="26"/>
      <c r="L64" s="38"/>
      <c r="M64" s="26"/>
      <c r="N64" s="38"/>
      <c r="O64" s="26"/>
      <c r="P64" s="38"/>
      <c r="Q64" s="26"/>
      <c r="R64" s="38"/>
      <c r="S64" s="26"/>
      <c r="T64" s="38"/>
      <c r="V64" s="40"/>
      <c r="X64" s="30"/>
    </row>
    <row r="65" spans="1:25">
      <c r="B65" s="134" t="s">
        <v>10</v>
      </c>
      <c r="C65" s="2"/>
      <c r="D65" s="136">
        <f>V55</f>
        <v>87.787463338828402</v>
      </c>
      <c r="E65" s="45"/>
      <c r="F65" s="45"/>
      <c r="G65" s="46"/>
      <c r="H65" s="45"/>
      <c r="I65" s="46"/>
      <c r="J65" s="45"/>
      <c r="K65" s="46"/>
      <c r="L65" s="45"/>
      <c r="M65" s="46"/>
      <c r="N65" s="45"/>
      <c r="O65" s="46"/>
      <c r="P65" s="45"/>
      <c r="Q65" s="46"/>
      <c r="R65" s="45"/>
      <c r="S65" s="46"/>
      <c r="T65" s="45"/>
      <c r="V65" s="40"/>
    </row>
    <row r="66" spans="1:25" ht="6" customHeight="1">
      <c r="B66" s="134"/>
      <c r="C66" s="2"/>
      <c r="D66" s="135"/>
      <c r="E66" s="45"/>
      <c r="F66" s="45"/>
      <c r="G66" s="46"/>
      <c r="H66" s="45"/>
      <c r="I66" s="46"/>
      <c r="J66" s="45"/>
      <c r="K66" s="46"/>
      <c r="L66" s="45"/>
      <c r="M66" s="46"/>
      <c r="N66" s="45"/>
      <c r="O66" s="46"/>
      <c r="P66" s="45"/>
      <c r="Q66" s="46"/>
      <c r="R66" s="45"/>
      <c r="S66" s="46"/>
      <c r="T66" s="45"/>
      <c r="U66" s="34"/>
      <c r="V66" s="34"/>
    </row>
    <row r="67" spans="1:25">
      <c r="B67" s="188" t="s">
        <v>45</v>
      </c>
      <c r="C67" s="189"/>
      <c r="D67" s="190">
        <v>95</v>
      </c>
      <c r="E67" s="38"/>
      <c r="F67" s="38"/>
      <c r="G67" s="38"/>
      <c r="H67" s="38"/>
      <c r="I67" s="38"/>
      <c r="J67" s="38"/>
      <c r="K67" s="38"/>
      <c r="L67" s="38"/>
      <c r="M67" s="38"/>
      <c r="N67" s="38"/>
      <c r="O67" s="38"/>
      <c r="P67" s="38"/>
      <c r="Q67" s="38"/>
      <c r="R67" s="38"/>
      <c r="S67" s="38"/>
      <c r="T67" s="38"/>
      <c r="X67" s="34"/>
      <c r="Y67" s="34"/>
    </row>
    <row r="68" spans="1:25">
      <c r="B68" s="137" t="s">
        <v>46</v>
      </c>
      <c r="C68" s="2"/>
      <c r="D68" s="138">
        <f>D47</f>
        <v>137562</v>
      </c>
      <c r="E68" s="38"/>
      <c r="F68" s="38"/>
      <c r="G68" s="38"/>
      <c r="H68" s="38"/>
      <c r="I68" s="38"/>
      <c r="J68" s="38"/>
      <c r="K68" s="38"/>
      <c r="L68" s="38"/>
      <c r="M68" s="38"/>
      <c r="N68" s="38"/>
      <c r="O68" s="38"/>
      <c r="P68" s="38"/>
      <c r="Q68" s="38"/>
      <c r="R68" s="38"/>
      <c r="S68" s="38"/>
      <c r="T68" s="38"/>
      <c r="X68" s="34"/>
      <c r="Y68" s="34"/>
    </row>
    <row r="69" spans="1:25" s="34" customFormat="1" ht="18.45" thickBot="1">
      <c r="B69" s="139" t="s">
        <v>50</v>
      </c>
      <c r="C69" s="3"/>
      <c r="D69" s="140">
        <f>+D67*D68</f>
        <v>13068390</v>
      </c>
      <c r="E69" s="49"/>
      <c r="F69" s="49"/>
      <c r="G69" s="49"/>
      <c r="H69" s="49"/>
      <c r="I69" s="49"/>
      <c r="J69" s="49"/>
      <c r="K69" s="49"/>
      <c r="L69" s="49"/>
      <c r="M69" s="49"/>
      <c r="N69" s="49"/>
      <c r="O69" s="49"/>
      <c r="P69" s="49"/>
      <c r="Q69" s="49"/>
      <c r="R69" s="49"/>
      <c r="S69" s="49"/>
      <c r="T69" s="49"/>
      <c r="U69" s="6"/>
      <c r="V69" s="6"/>
    </row>
    <row r="70" spans="1:25" s="34" customFormat="1" ht="6" customHeight="1">
      <c r="B70" s="139"/>
      <c r="C70" s="4"/>
      <c r="D70" s="140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47"/>
      <c r="V70" s="6"/>
      <c r="X70" s="6"/>
      <c r="Y70" s="6"/>
    </row>
    <row r="71" spans="1:25">
      <c r="A71" s="48"/>
      <c r="B71" s="141" t="s">
        <v>101</v>
      </c>
      <c r="C71" s="5"/>
      <c r="D71" s="142"/>
      <c r="E71" s="52"/>
      <c r="G71" s="52"/>
      <c r="I71" s="52"/>
      <c r="K71" s="52"/>
      <c r="M71" s="52"/>
      <c r="O71" s="52"/>
      <c r="Q71" s="52"/>
      <c r="S71" s="52"/>
    </row>
    <row r="72" spans="1:25">
      <c r="A72" s="48"/>
      <c r="B72" s="141" t="s">
        <v>110</v>
      </c>
      <c r="C72" s="2"/>
      <c r="D72" s="198">
        <f>ROUND(D69,-4)</f>
        <v>13070000</v>
      </c>
      <c r="F72" s="6">
        <v>0.8</v>
      </c>
      <c r="G72" s="28">
        <f>F72*J55</f>
        <v>76.42560287231413</v>
      </c>
    </row>
    <row r="73" spans="1:25">
      <c r="A73" s="48"/>
      <c r="B73" s="200" t="s">
        <v>21</v>
      </c>
      <c r="C73" s="201"/>
      <c r="D73" s="199"/>
      <c r="F73" s="6">
        <v>0.2</v>
      </c>
      <c r="G73" s="28">
        <f>F73*N55</f>
        <v>15.566298213717936</v>
      </c>
    </row>
    <row r="74" spans="1:25">
      <c r="B74" s="50"/>
      <c r="C74" s="50"/>
      <c r="D74" s="51"/>
      <c r="G74" s="28">
        <f>SUM(G72:G73)</f>
        <v>91.991901086032072</v>
      </c>
    </row>
    <row r="76" spans="1:25"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</row>
    <row r="77" spans="1:25"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</row>
    <row r="78" spans="1:25">
      <c r="E78" s="191"/>
      <c r="F78" s="191"/>
      <c r="G78" s="191"/>
      <c r="H78" s="191"/>
      <c r="I78" s="191"/>
      <c r="J78" s="191"/>
      <c r="K78" s="191"/>
      <c r="L78" s="191"/>
      <c r="M78" s="191"/>
      <c r="N78" s="191"/>
      <c r="O78" s="191"/>
      <c r="P78" s="191"/>
      <c r="Q78" s="191"/>
      <c r="R78" s="191"/>
      <c r="S78" s="191"/>
      <c r="T78" s="191"/>
    </row>
    <row r="79" spans="1:25">
      <c r="E79" s="36"/>
      <c r="F79" s="56"/>
      <c r="G79" s="36"/>
      <c r="H79" s="56"/>
      <c r="I79" s="36"/>
      <c r="J79" s="56"/>
      <c r="K79" s="36"/>
      <c r="L79" s="56"/>
      <c r="M79" s="36"/>
      <c r="N79" s="56"/>
      <c r="O79" s="36"/>
      <c r="P79" s="56"/>
      <c r="Q79" s="36"/>
      <c r="R79" s="56"/>
      <c r="S79" s="36"/>
      <c r="T79" s="56"/>
    </row>
    <row r="80" spans="1:25">
      <c r="B80" s="2"/>
      <c r="C80" s="2"/>
      <c r="D80" s="2"/>
      <c r="E80" s="59"/>
      <c r="F80" s="60"/>
      <c r="G80" s="59"/>
      <c r="H80" s="60"/>
      <c r="I80" s="59"/>
      <c r="J80" s="60"/>
      <c r="K80" s="59"/>
      <c r="L80" s="60"/>
      <c r="M80" s="59"/>
      <c r="N80" s="60"/>
      <c r="O80" s="59"/>
      <c r="P80" s="60"/>
      <c r="Q80" s="59"/>
      <c r="R80" s="60"/>
      <c r="S80" s="59"/>
      <c r="T80" s="60"/>
      <c r="U80" s="2"/>
    </row>
    <row r="81" spans="2:21"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</row>
    <row r="82" spans="2:21" ht="49.2" customHeight="1">
      <c r="B82" s="53"/>
      <c r="C82" s="54"/>
      <c r="D82" s="35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</row>
    <row r="83" spans="2:21" ht="18" customHeight="1">
      <c r="B83" s="55"/>
      <c r="C83" s="55"/>
      <c r="D83" s="35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</row>
    <row r="84" spans="2:21" ht="18" customHeight="1">
      <c r="B84" s="57"/>
      <c r="C84" s="36"/>
      <c r="D84" s="58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</row>
    <row r="85" spans="2:21" ht="18" customHeight="1"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</row>
    <row r="86" spans="2:21" ht="18" customHeight="1">
      <c r="B86" s="2"/>
      <c r="C86" s="2"/>
      <c r="D86" s="2"/>
      <c r="U86" s="2"/>
    </row>
    <row r="87" spans="2:21" ht="18" customHeight="1">
      <c r="B87" s="2"/>
      <c r="C87" s="2"/>
      <c r="D87" s="2"/>
      <c r="U87" s="2"/>
    </row>
    <row r="88" spans="2:21" ht="18" customHeight="1">
      <c r="B88" s="2"/>
      <c r="C88" s="2"/>
      <c r="D88" s="2"/>
      <c r="U88" s="2"/>
    </row>
    <row r="89" spans="2:21" ht="18" customHeight="1">
      <c r="B89" s="2"/>
      <c r="C89" s="2"/>
      <c r="D89" s="2"/>
      <c r="U89" s="2"/>
    </row>
  </sheetData>
  <mergeCells count="94">
    <mergeCell ref="B14:T15"/>
    <mergeCell ref="B18:D18"/>
    <mergeCell ref="E18:F18"/>
    <mergeCell ref="G18:H18"/>
    <mergeCell ref="I18:J18"/>
    <mergeCell ref="K18:L18"/>
    <mergeCell ref="M18:N18"/>
    <mergeCell ref="O18:P18"/>
    <mergeCell ref="Q18:R18"/>
    <mergeCell ref="S18:T18"/>
    <mergeCell ref="Q21:R21"/>
    <mergeCell ref="S21:T21"/>
    <mergeCell ref="E22:F22"/>
    <mergeCell ref="G22:H22"/>
    <mergeCell ref="I22:J22"/>
    <mergeCell ref="K22:L22"/>
    <mergeCell ref="M22:N22"/>
    <mergeCell ref="O22:P22"/>
    <mergeCell ref="Q22:R22"/>
    <mergeCell ref="S22:T22"/>
    <mergeCell ref="E21:F21"/>
    <mergeCell ref="G21:H21"/>
    <mergeCell ref="I21:J21"/>
    <mergeCell ref="K21:L21"/>
    <mergeCell ref="M21:N21"/>
    <mergeCell ref="O21:P21"/>
    <mergeCell ref="Q24:R24"/>
    <mergeCell ref="S24:T24"/>
    <mergeCell ref="E27:F27"/>
    <mergeCell ref="G27:H27"/>
    <mergeCell ref="I27:J27"/>
    <mergeCell ref="K27:L27"/>
    <mergeCell ref="M27:N27"/>
    <mergeCell ref="O27:P27"/>
    <mergeCell ref="Q27:R27"/>
    <mergeCell ref="S27:T27"/>
    <mergeCell ref="E24:F24"/>
    <mergeCell ref="G24:H24"/>
    <mergeCell ref="I24:J24"/>
    <mergeCell ref="K24:L24"/>
    <mergeCell ref="M24:N24"/>
    <mergeCell ref="O24:P24"/>
    <mergeCell ref="Q30:R30"/>
    <mergeCell ref="S30:T30"/>
    <mergeCell ref="B36:T36"/>
    <mergeCell ref="E37:F37"/>
    <mergeCell ref="G37:H37"/>
    <mergeCell ref="I37:J37"/>
    <mergeCell ref="K37:L37"/>
    <mergeCell ref="M37:N37"/>
    <mergeCell ref="O37:P37"/>
    <mergeCell ref="Q37:R37"/>
    <mergeCell ref="E30:F30"/>
    <mergeCell ref="G30:H30"/>
    <mergeCell ref="I30:J30"/>
    <mergeCell ref="K30:L30"/>
    <mergeCell ref="M30:N30"/>
    <mergeCell ref="O30:P30"/>
    <mergeCell ref="O46:P46"/>
    <mergeCell ref="S37:T37"/>
    <mergeCell ref="E43:F43"/>
    <mergeCell ref="G43:H43"/>
    <mergeCell ref="I43:J43"/>
    <mergeCell ref="K43:L43"/>
    <mergeCell ref="M43:N43"/>
    <mergeCell ref="O43:P43"/>
    <mergeCell ref="Q43:R43"/>
    <mergeCell ref="S43:T43"/>
    <mergeCell ref="I78:J78"/>
    <mergeCell ref="Q46:R46"/>
    <mergeCell ref="S46:T46"/>
    <mergeCell ref="E49:F49"/>
    <mergeCell ref="G49:H49"/>
    <mergeCell ref="I49:J49"/>
    <mergeCell ref="K49:L49"/>
    <mergeCell ref="M49:N49"/>
    <mergeCell ref="O49:P49"/>
    <mergeCell ref="Q49:R49"/>
    <mergeCell ref="S49:T49"/>
    <mergeCell ref="E46:F46"/>
    <mergeCell ref="G46:H46"/>
    <mergeCell ref="I46:J46"/>
    <mergeCell ref="K46:L46"/>
    <mergeCell ref="M46:N46"/>
    <mergeCell ref="B59:D60"/>
    <mergeCell ref="D72:D73"/>
    <mergeCell ref="B73:C73"/>
    <mergeCell ref="E78:F78"/>
    <mergeCell ref="G78:H78"/>
    <mergeCell ref="K78:L78"/>
    <mergeCell ref="M78:N78"/>
    <mergeCell ref="O78:P78"/>
    <mergeCell ref="Q78:R78"/>
    <mergeCell ref="S78:T78"/>
  </mergeCells>
  <conditionalFormatting sqref="F56:T56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F57:T57">
    <cfRule type="colorScale" priority="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5" right="0.75" top="1" bottom="1" header="0.5" footer="0.5"/>
  <pageSetup orientation="landscape" horizontalDpi="4294967292" verticalDpi="4294967292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G89"/>
  <sheetViews>
    <sheetView topLeftCell="A54" zoomScale="55" zoomScaleNormal="55" workbookViewId="0">
      <selection activeCell="B67" sqref="B67:D73"/>
    </sheetView>
  </sheetViews>
  <sheetFormatPr defaultColWidth="10.90625" defaultRowHeight="18"/>
  <cols>
    <col min="1" max="1" width="10.90625" style="6" customWidth="1"/>
    <col min="2" max="2" width="31.36328125" style="6" customWidth="1"/>
    <col min="3" max="3" width="4.08984375" style="6" customWidth="1"/>
    <col min="4" max="4" width="19.6328125" style="6" customWidth="1"/>
    <col min="5" max="5" width="10.81640625" style="6" customWidth="1"/>
    <col min="6" max="6" width="16.36328125" style="6" customWidth="1"/>
    <col min="7" max="7" width="9.81640625" style="6" customWidth="1"/>
    <col min="8" max="8" width="12.6328125" style="6" customWidth="1"/>
    <col min="9" max="9" width="10.08984375" style="6" customWidth="1"/>
    <col min="10" max="10" width="16.6328125" style="6" customWidth="1"/>
    <col min="11" max="11" width="10.08984375" style="6" customWidth="1"/>
    <col min="12" max="12" width="16.90625" style="6" customWidth="1"/>
    <col min="13" max="13" width="11.26953125" style="6" customWidth="1"/>
    <col min="14" max="14" width="11.90625" style="6" customWidth="1"/>
    <col min="15" max="15" width="9" style="6" customWidth="1"/>
    <col min="16" max="16" width="18.36328125" style="6" customWidth="1"/>
    <col min="17" max="17" width="9.26953125" style="6" customWidth="1"/>
    <col min="18" max="18" width="13.453125" style="6" customWidth="1"/>
    <col min="19" max="19" width="9.90625" style="6" customWidth="1"/>
    <col min="20" max="20" width="16.08984375" style="6" customWidth="1"/>
    <col min="21" max="21" width="8.453125" style="6" bestFit="1" customWidth="1"/>
    <col min="22" max="23" width="15" style="6" bestFit="1" customWidth="1"/>
    <col min="24" max="24" width="10" style="6" bestFit="1" customWidth="1"/>
    <col min="25" max="25" width="4" style="6" bestFit="1" customWidth="1"/>
    <col min="26" max="26" width="12" style="6" bestFit="1" customWidth="1"/>
    <col min="27" max="28" width="10.90625" style="6" customWidth="1"/>
    <col min="29" max="29" width="10" style="6" customWidth="1"/>
    <col min="30" max="30" width="10.90625" style="6" customWidth="1"/>
    <col min="31" max="31" width="33.90625" style="6" customWidth="1"/>
    <col min="32" max="32" width="20.08984375" style="6" customWidth="1"/>
    <col min="33" max="33" width="14.90625" style="6" customWidth="1"/>
    <col min="34" max="16384" width="10.90625" style="6"/>
  </cols>
  <sheetData>
    <row r="1" spans="1:33">
      <c r="F1" s="7" t="s">
        <v>53</v>
      </c>
      <c r="H1" s="7" t="s">
        <v>54</v>
      </c>
      <c r="J1" s="7" t="s">
        <v>62</v>
      </c>
      <c r="L1" s="7" t="s">
        <v>55</v>
      </c>
      <c r="N1" s="7" t="s">
        <v>56</v>
      </c>
      <c r="P1" s="7" t="s">
        <v>57</v>
      </c>
      <c r="R1" s="7" t="s">
        <v>80</v>
      </c>
      <c r="T1" s="7" t="s">
        <v>95</v>
      </c>
    </row>
    <row r="2" spans="1:33" s="8" customFormat="1">
      <c r="D2" s="9" t="s">
        <v>22</v>
      </c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AE2" s="6"/>
      <c r="AF2" s="6"/>
      <c r="AG2" s="6"/>
    </row>
    <row r="3" spans="1:33" s="8" customFormat="1" ht="54">
      <c r="D3" s="11"/>
      <c r="F3" s="10" t="s">
        <v>66</v>
      </c>
      <c r="H3" s="10" t="s">
        <v>71</v>
      </c>
      <c r="J3" s="10" t="s">
        <v>92</v>
      </c>
      <c r="L3" s="10" t="s">
        <v>73</v>
      </c>
      <c r="N3" s="10" t="s">
        <v>75</v>
      </c>
      <c r="P3" s="10" t="s">
        <v>77</v>
      </c>
      <c r="R3" s="10" t="s">
        <v>83</v>
      </c>
      <c r="T3" s="10" t="s">
        <v>81</v>
      </c>
      <c r="AE3" s="6"/>
      <c r="AF3" s="6"/>
      <c r="AG3" s="6"/>
    </row>
    <row r="4" spans="1:33">
      <c r="D4" s="12" t="s">
        <v>23</v>
      </c>
      <c r="E4" s="13"/>
      <c r="F4" s="14" t="s">
        <v>67</v>
      </c>
      <c r="G4" s="13"/>
      <c r="H4" s="14" t="s">
        <v>72</v>
      </c>
      <c r="I4" s="13"/>
      <c r="J4" s="14" t="s">
        <v>91</v>
      </c>
      <c r="K4" s="13"/>
      <c r="L4" s="14" t="s">
        <v>74</v>
      </c>
      <c r="M4" s="13"/>
      <c r="N4" s="14" t="s">
        <v>76</v>
      </c>
      <c r="O4" s="13"/>
      <c r="P4" s="14" t="s">
        <v>78</v>
      </c>
      <c r="Q4" s="13"/>
      <c r="R4" s="14" t="s">
        <v>84</v>
      </c>
      <c r="S4" s="13"/>
      <c r="T4" s="14" t="s">
        <v>82</v>
      </c>
    </row>
    <row r="5" spans="1:33">
      <c r="D5" s="12" t="s">
        <v>24</v>
      </c>
      <c r="E5" s="13"/>
      <c r="F5" s="15">
        <v>41143</v>
      </c>
      <c r="G5" s="13"/>
      <c r="H5" s="15">
        <v>41060</v>
      </c>
      <c r="I5" s="13"/>
      <c r="J5" s="15">
        <v>41060</v>
      </c>
      <c r="K5" s="13"/>
      <c r="L5" s="15">
        <v>40702</v>
      </c>
      <c r="M5" s="13"/>
      <c r="N5" s="15">
        <v>40968</v>
      </c>
      <c r="O5" s="13"/>
      <c r="P5" s="15">
        <v>39903</v>
      </c>
      <c r="Q5" s="13"/>
      <c r="R5" s="15">
        <v>39721</v>
      </c>
      <c r="S5" s="13"/>
      <c r="T5" s="15">
        <v>39667</v>
      </c>
    </row>
    <row r="6" spans="1:33" s="21" customFormat="1">
      <c r="A6" s="16"/>
      <c r="B6" s="16"/>
      <c r="C6" s="16"/>
      <c r="D6" s="17" t="s">
        <v>41</v>
      </c>
      <c r="E6" s="18"/>
      <c r="F6" s="19">
        <v>212375</v>
      </c>
      <c r="G6" s="20"/>
      <c r="H6" s="19">
        <v>51276</v>
      </c>
      <c r="I6" s="20"/>
      <c r="J6" s="19">
        <v>121638</v>
      </c>
      <c r="K6" s="20"/>
      <c r="L6" s="19">
        <v>140684</v>
      </c>
      <c r="M6" s="20"/>
      <c r="N6" s="19">
        <v>67146</v>
      </c>
      <c r="O6" s="20"/>
      <c r="P6" s="19">
        <v>52920</v>
      </c>
      <c r="Q6" s="20"/>
      <c r="R6" s="19">
        <v>127082</v>
      </c>
      <c r="S6" s="20"/>
      <c r="T6" s="19">
        <v>139588</v>
      </c>
      <c r="AE6" s="6"/>
      <c r="AF6" s="6"/>
      <c r="AG6" s="6"/>
    </row>
    <row r="7" spans="1:33">
      <c r="D7" s="12" t="s">
        <v>25</v>
      </c>
      <c r="E7" s="22"/>
      <c r="F7" s="22">
        <v>16000000</v>
      </c>
      <c r="G7" s="22"/>
      <c r="H7" s="22">
        <v>4820000</v>
      </c>
      <c r="I7" s="22"/>
      <c r="J7" s="22">
        <v>9900000</v>
      </c>
      <c r="K7" s="22"/>
      <c r="L7" s="22">
        <v>5200000</v>
      </c>
      <c r="M7" s="22"/>
      <c r="N7" s="22">
        <v>6200000</v>
      </c>
      <c r="O7" s="22"/>
      <c r="P7" s="22">
        <v>2600000</v>
      </c>
      <c r="Q7" s="22"/>
      <c r="R7" s="22">
        <v>5000000</v>
      </c>
      <c r="S7" s="22"/>
      <c r="T7" s="22">
        <v>3200000</v>
      </c>
    </row>
    <row r="8" spans="1:33">
      <c r="D8" s="12" t="s">
        <v>26</v>
      </c>
      <c r="E8" s="22"/>
      <c r="F8" s="22">
        <v>0</v>
      </c>
      <c r="G8" s="22"/>
      <c r="H8" s="22">
        <v>180000</v>
      </c>
      <c r="I8" s="22"/>
      <c r="J8" s="22">
        <v>0</v>
      </c>
      <c r="K8" s="22"/>
      <c r="L8" s="22">
        <v>0</v>
      </c>
      <c r="M8" s="22"/>
      <c r="N8" s="22">
        <v>0</v>
      </c>
      <c r="O8" s="22"/>
      <c r="P8" s="22">
        <v>0</v>
      </c>
      <c r="Q8" s="22"/>
      <c r="R8" s="22">
        <v>0</v>
      </c>
      <c r="S8" s="22"/>
      <c r="T8" s="22">
        <v>0</v>
      </c>
    </row>
    <row r="9" spans="1:33">
      <c r="D9" s="12" t="s">
        <v>27</v>
      </c>
      <c r="E9" s="22"/>
      <c r="F9" s="22">
        <v>0</v>
      </c>
      <c r="G9" s="22"/>
      <c r="H9" s="22">
        <v>0</v>
      </c>
      <c r="I9" s="22"/>
      <c r="J9" s="22">
        <v>0</v>
      </c>
      <c r="K9" s="22"/>
      <c r="L9" s="22">
        <v>0</v>
      </c>
      <c r="M9" s="22"/>
      <c r="N9" s="22">
        <v>-1100000</v>
      </c>
      <c r="O9" s="22"/>
      <c r="P9" s="22">
        <v>0</v>
      </c>
      <c r="Q9" s="22"/>
      <c r="R9" s="22">
        <v>0</v>
      </c>
      <c r="S9" s="22"/>
      <c r="T9" s="22">
        <v>0</v>
      </c>
    </row>
    <row r="10" spans="1:33">
      <c r="D10" s="12" t="s">
        <v>28</v>
      </c>
      <c r="E10" s="22"/>
      <c r="F10" s="22">
        <f>SUM(F7:F9)</f>
        <v>16000000</v>
      </c>
      <c r="G10" s="22"/>
      <c r="H10" s="22">
        <f>H7</f>
        <v>4820000</v>
      </c>
      <c r="I10" s="22"/>
      <c r="J10" s="22">
        <f>SUM(J7:J9)</f>
        <v>9900000</v>
      </c>
      <c r="K10" s="22"/>
      <c r="L10" s="22">
        <f>SUM(L7:L9)</f>
        <v>5200000</v>
      </c>
      <c r="M10" s="22"/>
      <c r="N10" s="22">
        <f>N7</f>
        <v>6200000</v>
      </c>
      <c r="O10" s="22"/>
      <c r="P10" s="22">
        <f>SUM(P7:P9)</f>
        <v>2600000</v>
      </c>
      <c r="Q10" s="22"/>
      <c r="R10" s="22">
        <f>SUM(R7:R9)</f>
        <v>5000000</v>
      </c>
      <c r="S10" s="22"/>
      <c r="T10" s="22">
        <f>SUM(T7:T9)</f>
        <v>3200000</v>
      </c>
    </row>
    <row r="11" spans="1:33">
      <c r="A11" s="23"/>
      <c r="B11" s="23"/>
      <c r="C11" s="23"/>
      <c r="D11" s="24" t="s">
        <v>29</v>
      </c>
      <c r="E11" s="25"/>
      <c r="F11" s="25">
        <f>F7/F6</f>
        <v>75.33843437316068</v>
      </c>
      <c r="G11" s="25"/>
      <c r="H11" s="25">
        <f>H7/H6</f>
        <v>94.001092128871207</v>
      </c>
      <c r="I11" s="25"/>
      <c r="J11" s="25">
        <f>J7/J6</f>
        <v>81.389039609332613</v>
      </c>
      <c r="K11" s="25"/>
      <c r="L11" s="25">
        <f>L7/L6</f>
        <v>36.962270052031506</v>
      </c>
      <c r="M11" s="25"/>
      <c r="N11" s="25">
        <f>N7/N6</f>
        <v>92.336103416435833</v>
      </c>
      <c r="O11" s="25"/>
      <c r="P11" s="25">
        <f>P7/P6</f>
        <v>49.130763416477706</v>
      </c>
      <c r="Q11" s="25"/>
      <c r="R11" s="25">
        <f>R7/R6</f>
        <v>39.344675091673096</v>
      </c>
      <c r="S11" s="25"/>
      <c r="T11" s="25">
        <f>T7/T6</f>
        <v>22.924606699716307</v>
      </c>
    </row>
    <row r="12" spans="1:33">
      <c r="A12" s="23"/>
      <c r="B12" s="23"/>
      <c r="C12" s="23"/>
      <c r="D12" s="26" t="s">
        <v>9</v>
      </c>
      <c r="E12" s="25"/>
      <c r="F12" s="25">
        <v>9.6999999999999993</v>
      </c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</row>
    <row r="14" spans="1:33" ht="13.2" customHeight="1">
      <c r="B14" s="234" t="s">
        <v>97</v>
      </c>
      <c r="C14" s="235"/>
      <c r="D14" s="235"/>
      <c r="E14" s="235"/>
      <c r="F14" s="235"/>
      <c r="G14" s="235"/>
      <c r="H14" s="235"/>
      <c r="I14" s="235"/>
      <c r="J14" s="235"/>
      <c r="K14" s="235"/>
      <c r="L14" s="235"/>
      <c r="M14" s="235"/>
      <c r="N14" s="235"/>
      <c r="O14" s="235"/>
      <c r="P14" s="235"/>
      <c r="Q14" s="235"/>
      <c r="R14" s="235"/>
      <c r="S14" s="235"/>
      <c r="T14" s="236"/>
      <c r="Y14" s="27"/>
    </row>
    <row r="15" spans="1:33" ht="15" customHeight="1" thickBot="1">
      <c r="B15" s="237"/>
      <c r="C15" s="238"/>
      <c r="D15" s="238"/>
      <c r="E15" s="239"/>
      <c r="F15" s="239"/>
      <c r="G15" s="239"/>
      <c r="H15" s="239"/>
      <c r="I15" s="239"/>
      <c r="J15" s="239"/>
      <c r="K15" s="239"/>
      <c r="L15" s="239"/>
      <c r="M15" s="239"/>
      <c r="N15" s="239"/>
      <c r="O15" s="239"/>
      <c r="P15" s="239"/>
      <c r="Q15" s="239"/>
      <c r="R15" s="239"/>
      <c r="S15" s="239"/>
      <c r="T15" s="240"/>
    </row>
    <row r="16" spans="1:33" ht="23.8" customHeight="1">
      <c r="B16" s="117" t="s">
        <v>0</v>
      </c>
      <c r="C16" s="62"/>
      <c r="D16" s="63" t="s">
        <v>1</v>
      </c>
      <c r="E16" s="64"/>
      <c r="F16" s="65" t="str">
        <f>+F1</f>
        <v>Sale 1</v>
      </c>
      <c r="G16" s="64"/>
      <c r="H16" s="66" t="str">
        <f>+H1</f>
        <v>Sale 2</v>
      </c>
      <c r="I16" s="64"/>
      <c r="J16" s="66" t="str">
        <f>+J1</f>
        <v>Sale 3</v>
      </c>
      <c r="K16" s="67"/>
      <c r="L16" s="65" t="str">
        <f>+L1</f>
        <v>Sale 4</v>
      </c>
      <c r="M16" s="64"/>
      <c r="N16" s="65" t="str">
        <f>+N1</f>
        <v>Sale 5</v>
      </c>
      <c r="O16" s="64"/>
      <c r="P16" s="65" t="str">
        <f>+P1</f>
        <v>Sale 6</v>
      </c>
      <c r="Q16" s="64"/>
      <c r="R16" s="66" t="str">
        <f>R1</f>
        <v>Sale 7</v>
      </c>
      <c r="S16" s="67"/>
      <c r="T16" s="66" t="str">
        <f>+T1</f>
        <v>Sale 8</v>
      </c>
    </row>
    <row r="17" spans="2:33" s="8" customFormat="1" ht="23.8" customHeight="1">
      <c r="B17" s="118" t="s">
        <v>2</v>
      </c>
      <c r="C17" s="68"/>
      <c r="D17" s="69"/>
      <c r="E17" s="70"/>
      <c r="F17" s="110"/>
      <c r="G17" s="70"/>
      <c r="H17" s="111"/>
      <c r="I17" s="70"/>
      <c r="J17" s="111"/>
      <c r="K17" s="68"/>
      <c r="L17" s="110"/>
      <c r="M17" s="70"/>
      <c r="N17" s="110"/>
      <c r="O17" s="70"/>
      <c r="P17" s="110"/>
      <c r="Q17" s="70"/>
      <c r="R17" s="111"/>
      <c r="S17" s="68"/>
      <c r="T17" s="111"/>
      <c r="AE17" s="6"/>
      <c r="AF17" s="6"/>
      <c r="AG17" s="6"/>
    </row>
    <row r="18" spans="2:33" s="8" customFormat="1" ht="23.8" customHeight="1">
      <c r="B18" s="241" t="s">
        <v>99</v>
      </c>
      <c r="C18" s="242"/>
      <c r="D18" s="243"/>
      <c r="E18" s="244" t="str">
        <f>IF(F3=0,"  ",F3)</f>
        <v>8301 Flying Cloud Dr</v>
      </c>
      <c r="F18" s="245"/>
      <c r="G18" s="244" t="str">
        <f>IF(H3=0,"  ",H3)</f>
        <v>1959 Suburban</v>
      </c>
      <c r="H18" s="245"/>
      <c r="I18" s="244" t="str">
        <f>IF(J3=0,"  ",J3)</f>
        <v>14230 Burnhaven Dr</v>
      </c>
      <c r="J18" s="245"/>
      <c r="K18" s="246" t="str">
        <f>IF(L3=0,"  ",L3)</f>
        <v>4405 Pheasant Ridge</v>
      </c>
      <c r="L18" s="246"/>
      <c r="M18" s="244" t="str">
        <f>IF(N3=0,"  ",N3)</f>
        <v>441 Hwy 96</v>
      </c>
      <c r="N18" s="245"/>
      <c r="O18" s="244" t="str">
        <f>IF(P3=0,"  ",P3)</f>
        <v>5925 Earle Brown Dr</v>
      </c>
      <c r="P18" s="246"/>
      <c r="Q18" s="244" t="str">
        <f>IF(R3=0,"  ",R3)</f>
        <v>2324 3rd Ave</v>
      </c>
      <c r="R18" s="245"/>
      <c r="S18" s="246" t="str">
        <f>IF(T3=0,"  ",T3)</f>
        <v>13800 Rogers Dr</v>
      </c>
      <c r="T18" s="245"/>
      <c r="AE18" s="6"/>
      <c r="AF18" s="6"/>
      <c r="AG18" s="6"/>
    </row>
    <row r="19" spans="2:33" ht="23.8" customHeight="1">
      <c r="B19" s="71"/>
      <c r="C19" s="62"/>
      <c r="D19" s="109" t="s">
        <v>65</v>
      </c>
      <c r="E19" s="71"/>
      <c r="F19" s="72" t="str">
        <f>+F4</f>
        <v>Eden Prairie</v>
      </c>
      <c r="G19" s="73"/>
      <c r="H19" s="74" t="str">
        <f>+H4</f>
        <v>St. Paul</v>
      </c>
      <c r="I19" s="73"/>
      <c r="J19" s="74" t="str">
        <f>+J4</f>
        <v>Burnsville</v>
      </c>
      <c r="K19" s="75"/>
      <c r="L19" s="72" t="str">
        <f>+L4</f>
        <v>Blaine</v>
      </c>
      <c r="M19" s="73"/>
      <c r="N19" s="72" t="str">
        <f>+N4</f>
        <v>Shoreview</v>
      </c>
      <c r="O19" s="73"/>
      <c r="P19" s="72" t="str">
        <f>+P4</f>
        <v>Brooklyn Center</v>
      </c>
      <c r="Q19" s="73"/>
      <c r="R19" s="74" t="str">
        <f>+R4</f>
        <v>Cambridge</v>
      </c>
      <c r="S19" s="75"/>
      <c r="T19" s="74" t="str">
        <f>+T4</f>
        <v>Rogers</v>
      </c>
    </row>
    <row r="20" spans="2:33" ht="23.8" customHeight="1">
      <c r="B20" s="85"/>
      <c r="C20" s="76"/>
      <c r="D20" s="77"/>
      <c r="E20" s="71"/>
      <c r="F20" s="62"/>
      <c r="G20" s="71"/>
      <c r="H20" s="78"/>
      <c r="I20" s="79"/>
      <c r="J20" s="80"/>
      <c r="K20" s="62"/>
      <c r="L20" s="62"/>
      <c r="M20" s="71"/>
      <c r="N20" s="62"/>
      <c r="O20" s="71"/>
      <c r="P20" s="62"/>
      <c r="Q20" s="79"/>
      <c r="R20" s="80"/>
      <c r="S20" s="76"/>
      <c r="T20" s="80"/>
    </row>
    <row r="21" spans="2:33" ht="23.8" customHeight="1">
      <c r="B21" s="119" t="s">
        <v>3</v>
      </c>
      <c r="C21" s="62"/>
      <c r="D21" s="81" t="s">
        <v>4</v>
      </c>
      <c r="E21" s="230">
        <f>+F7</f>
        <v>16000000</v>
      </c>
      <c r="F21" s="231"/>
      <c r="G21" s="230">
        <f>+H7</f>
        <v>4820000</v>
      </c>
      <c r="H21" s="231"/>
      <c r="I21" s="230">
        <v>9990000</v>
      </c>
      <c r="J21" s="231"/>
      <c r="K21" s="230">
        <f>+L7</f>
        <v>5200000</v>
      </c>
      <c r="L21" s="231"/>
      <c r="M21" s="230">
        <f>+N7</f>
        <v>6200000</v>
      </c>
      <c r="N21" s="231"/>
      <c r="O21" s="230">
        <f>+P7</f>
        <v>2600000</v>
      </c>
      <c r="P21" s="231"/>
      <c r="Q21" s="230">
        <f>+R7</f>
        <v>5000000</v>
      </c>
      <c r="R21" s="231"/>
      <c r="S21" s="230">
        <f>+T7</f>
        <v>3200000</v>
      </c>
      <c r="T21" s="231"/>
    </row>
    <row r="22" spans="2:33" ht="23.8" customHeight="1">
      <c r="B22" s="115" t="s">
        <v>47</v>
      </c>
      <c r="C22" s="62"/>
      <c r="D22" s="83">
        <v>137562</v>
      </c>
      <c r="E22" s="232">
        <f>F6</f>
        <v>212375</v>
      </c>
      <c r="F22" s="233"/>
      <c r="G22" s="232">
        <f>H6</f>
        <v>51276</v>
      </c>
      <c r="H22" s="233"/>
      <c r="I22" s="232">
        <f>J6</f>
        <v>121638</v>
      </c>
      <c r="J22" s="233"/>
      <c r="K22" s="232">
        <f>L6</f>
        <v>140684</v>
      </c>
      <c r="L22" s="233"/>
      <c r="M22" s="232">
        <f>N6</f>
        <v>67146</v>
      </c>
      <c r="N22" s="233"/>
      <c r="O22" s="232">
        <f>P6</f>
        <v>52920</v>
      </c>
      <c r="P22" s="233"/>
      <c r="Q22" s="232">
        <f>R6</f>
        <v>127082</v>
      </c>
      <c r="R22" s="233"/>
      <c r="S22" s="232">
        <f>T6</f>
        <v>139588</v>
      </c>
      <c r="T22" s="233"/>
    </row>
    <row r="23" spans="2:33" ht="23.8" customHeight="1">
      <c r="B23" s="116" t="s">
        <v>44</v>
      </c>
      <c r="C23" s="76"/>
      <c r="D23" s="84" t="s">
        <v>13</v>
      </c>
      <c r="E23" s="85"/>
      <c r="F23" s="86">
        <f>ROUND(E21/(F6),2)</f>
        <v>75.34</v>
      </c>
      <c r="G23" s="87"/>
      <c r="H23" s="88">
        <f>ROUND(G21/(H6),2)</f>
        <v>94</v>
      </c>
      <c r="I23" s="87"/>
      <c r="J23" s="88">
        <f>ROUND(I21/(J6),2)</f>
        <v>82.13</v>
      </c>
      <c r="K23" s="89"/>
      <c r="L23" s="86">
        <f>ROUND(K21/(L6),2)</f>
        <v>36.96</v>
      </c>
      <c r="M23" s="87"/>
      <c r="N23" s="86">
        <f>ROUND(M21/(N6),2)</f>
        <v>92.34</v>
      </c>
      <c r="O23" s="87"/>
      <c r="P23" s="86">
        <f>ROUND(O21/(P6),2)</f>
        <v>49.13</v>
      </c>
      <c r="Q23" s="87"/>
      <c r="R23" s="88">
        <f>ROUND(Q21/(R6),2)</f>
        <v>39.340000000000003</v>
      </c>
      <c r="S23" s="89"/>
      <c r="T23" s="88">
        <f>ROUND(S21/(T6),2)</f>
        <v>22.92</v>
      </c>
      <c r="U23" s="6" t="s">
        <v>14</v>
      </c>
      <c r="V23" s="23">
        <f>AVERAGE(F23:T23)</f>
        <v>61.52</v>
      </c>
    </row>
    <row r="24" spans="2:33" ht="23.8" customHeight="1">
      <c r="B24" s="119" t="s">
        <v>103</v>
      </c>
      <c r="C24" s="62"/>
      <c r="D24" s="90" t="s">
        <v>52</v>
      </c>
      <c r="E24" s="224" t="s">
        <v>52</v>
      </c>
      <c r="F24" s="225"/>
      <c r="G24" s="224" t="s">
        <v>52</v>
      </c>
      <c r="H24" s="225"/>
      <c r="I24" s="224" t="s">
        <v>93</v>
      </c>
      <c r="J24" s="225"/>
      <c r="K24" s="226" t="s">
        <v>105</v>
      </c>
      <c r="L24" s="225"/>
      <c r="M24" s="224" t="s">
        <v>52</v>
      </c>
      <c r="N24" s="225"/>
      <c r="O24" s="224" t="s">
        <v>52</v>
      </c>
      <c r="P24" s="225"/>
      <c r="Q24" s="224" t="s">
        <v>52</v>
      </c>
      <c r="R24" s="225"/>
      <c r="S24" s="226" t="s">
        <v>105</v>
      </c>
      <c r="T24" s="225"/>
      <c r="U24" s="6" t="s">
        <v>15</v>
      </c>
      <c r="V24" s="23">
        <f>MEDIAN(F23:T23)</f>
        <v>62.234999999999999</v>
      </c>
      <c r="X24" s="6" t="s">
        <v>34</v>
      </c>
    </row>
    <row r="25" spans="2:33" ht="23.8" customHeight="1">
      <c r="B25" s="115" t="s">
        <v>5</v>
      </c>
      <c r="C25" s="62"/>
      <c r="D25" s="90" t="s">
        <v>63</v>
      </c>
      <c r="E25" s="91">
        <v>0</v>
      </c>
      <c r="F25" s="92">
        <f>ROUND(1/(1-E25)*F23,2)-F23</f>
        <v>0</v>
      </c>
      <c r="G25" s="91">
        <v>0</v>
      </c>
      <c r="H25" s="93">
        <f>ROUND(1/(1-G25)*H23,2)-H23</f>
        <v>0</v>
      </c>
      <c r="I25" s="91">
        <v>0</v>
      </c>
      <c r="J25" s="93">
        <f>J23*I25</f>
        <v>0</v>
      </c>
      <c r="K25" s="94">
        <v>0.7</v>
      </c>
      <c r="L25" s="92">
        <f>K25*L23</f>
        <v>25.872</v>
      </c>
      <c r="M25" s="91">
        <v>0</v>
      </c>
      <c r="N25" s="92">
        <f>ROUND(1/(1-M25)*N23,2)-N23</f>
        <v>0</v>
      </c>
      <c r="O25" s="91">
        <v>0</v>
      </c>
      <c r="P25" s="92">
        <f>ROUND(1/(1-O25)*P23,2)-P23</f>
        <v>0</v>
      </c>
      <c r="Q25" s="91">
        <v>0</v>
      </c>
      <c r="R25" s="93">
        <f>Q25*R23</f>
        <v>0</v>
      </c>
      <c r="S25" s="94">
        <v>0.7</v>
      </c>
      <c r="T25" s="93">
        <f>T23*S25</f>
        <v>16.044</v>
      </c>
      <c r="U25" s="6" t="s">
        <v>16</v>
      </c>
      <c r="V25" s="6">
        <f>STDEV(F23:P23)</f>
        <v>23.501453572066573</v>
      </c>
      <c r="X25" s="23">
        <f>V27-V26</f>
        <v>71.08</v>
      </c>
    </row>
    <row r="26" spans="2:33" ht="23.8" customHeight="1">
      <c r="B26" s="116" t="s">
        <v>43</v>
      </c>
      <c r="C26" s="76"/>
      <c r="D26" s="77"/>
      <c r="E26" s="85"/>
      <c r="F26" s="86">
        <f>+F23+F25</f>
        <v>75.34</v>
      </c>
      <c r="G26" s="87"/>
      <c r="H26" s="88">
        <f>+H23+H25</f>
        <v>94</v>
      </c>
      <c r="I26" s="87"/>
      <c r="J26" s="88">
        <f>+J23+J25</f>
        <v>82.13</v>
      </c>
      <c r="K26" s="89"/>
      <c r="L26" s="86">
        <f>+L23+L25</f>
        <v>62.832000000000001</v>
      </c>
      <c r="M26" s="87"/>
      <c r="N26" s="86">
        <f>+N23+N25</f>
        <v>92.34</v>
      </c>
      <c r="O26" s="87"/>
      <c r="P26" s="86">
        <f>+P23+P25</f>
        <v>49.13</v>
      </c>
      <c r="Q26" s="87"/>
      <c r="R26" s="88">
        <f>+R23+R25</f>
        <v>39.340000000000003</v>
      </c>
      <c r="S26" s="89"/>
      <c r="T26" s="88">
        <f>+T23+T25</f>
        <v>38.963999999999999</v>
      </c>
      <c r="U26" s="6" t="s">
        <v>17</v>
      </c>
      <c r="V26" s="23">
        <f>MIN(F23:T23)</f>
        <v>22.92</v>
      </c>
    </row>
    <row r="27" spans="2:33" ht="23.8" customHeight="1">
      <c r="B27" s="119" t="s">
        <v>6</v>
      </c>
      <c r="C27" s="62"/>
      <c r="D27" s="90"/>
      <c r="E27" s="227" t="s">
        <v>36</v>
      </c>
      <c r="F27" s="228"/>
      <c r="G27" s="227" t="s">
        <v>36</v>
      </c>
      <c r="H27" s="228"/>
      <c r="I27" s="227" t="s">
        <v>36</v>
      </c>
      <c r="J27" s="228"/>
      <c r="K27" s="229" t="s">
        <v>36</v>
      </c>
      <c r="L27" s="229"/>
      <c r="M27" s="227" t="s">
        <v>36</v>
      </c>
      <c r="N27" s="229"/>
      <c r="O27" s="227" t="s">
        <v>79</v>
      </c>
      <c r="P27" s="229"/>
      <c r="Q27" s="227" t="s">
        <v>79</v>
      </c>
      <c r="R27" s="228"/>
      <c r="S27" s="229" t="s">
        <v>79</v>
      </c>
      <c r="T27" s="228"/>
      <c r="U27" s="6" t="s">
        <v>18</v>
      </c>
      <c r="V27" s="23">
        <f>MAX(F23:T23)</f>
        <v>94</v>
      </c>
      <c r="AA27" s="6" t="s">
        <v>98</v>
      </c>
    </row>
    <row r="28" spans="2:33" ht="23.8" customHeight="1">
      <c r="B28" s="115" t="s">
        <v>5</v>
      </c>
      <c r="C28" s="62"/>
      <c r="D28" s="143" t="s">
        <v>36</v>
      </c>
      <c r="E28" s="91">
        <f>F28/F26</f>
        <v>0</v>
      </c>
      <c r="F28" s="95">
        <v>0</v>
      </c>
      <c r="G28" s="91">
        <f>H28/H26</f>
        <v>0</v>
      </c>
      <c r="H28" s="96">
        <v>0</v>
      </c>
      <c r="I28" s="91">
        <f>J28/J26</f>
        <v>0</v>
      </c>
      <c r="J28" s="96">
        <v>0</v>
      </c>
      <c r="K28" s="94">
        <f>L28/L26</f>
        <v>0</v>
      </c>
      <c r="L28" s="95">
        <v>0</v>
      </c>
      <c r="M28" s="91">
        <v>0</v>
      </c>
      <c r="N28" s="95">
        <f>M28*N26</f>
        <v>0</v>
      </c>
      <c r="O28" s="91">
        <f>P28/P26</f>
        <v>0</v>
      </c>
      <c r="P28" s="95">
        <v>0</v>
      </c>
      <c r="Q28" s="91">
        <f>R28/R26</f>
        <v>0</v>
      </c>
      <c r="R28" s="96">
        <v>0</v>
      </c>
      <c r="S28" s="94">
        <f>T28/T26</f>
        <v>0</v>
      </c>
      <c r="T28" s="96">
        <v>0</v>
      </c>
      <c r="X28" s="23"/>
    </row>
    <row r="29" spans="2:33" ht="23.8" customHeight="1">
      <c r="B29" s="116" t="s">
        <v>43</v>
      </c>
      <c r="C29" s="76"/>
      <c r="D29" s="77"/>
      <c r="E29" s="85"/>
      <c r="F29" s="86">
        <f>+F26+F28</f>
        <v>75.34</v>
      </c>
      <c r="G29" s="87"/>
      <c r="H29" s="88">
        <f>+H26+H28</f>
        <v>94</v>
      </c>
      <c r="I29" s="87"/>
      <c r="J29" s="88">
        <f>+J26+J28</f>
        <v>82.13</v>
      </c>
      <c r="K29" s="89"/>
      <c r="L29" s="86">
        <f>+L26+L28</f>
        <v>62.832000000000001</v>
      </c>
      <c r="M29" s="87"/>
      <c r="N29" s="86">
        <f>+N26+N28</f>
        <v>92.34</v>
      </c>
      <c r="O29" s="87"/>
      <c r="P29" s="86">
        <f>+P26+P28</f>
        <v>49.13</v>
      </c>
      <c r="Q29" s="87"/>
      <c r="R29" s="88">
        <f>+R26+R28</f>
        <v>39.340000000000003</v>
      </c>
      <c r="S29" s="89"/>
      <c r="T29" s="88">
        <f>+T26+T28</f>
        <v>38.963999999999999</v>
      </c>
    </row>
    <row r="30" spans="2:33" ht="23.8" customHeight="1">
      <c r="B30" s="113" t="s">
        <v>7</v>
      </c>
      <c r="C30" s="82"/>
      <c r="D30" s="97"/>
      <c r="E30" s="217" t="s">
        <v>33</v>
      </c>
      <c r="F30" s="218"/>
      <c r="G30" s="217" t="s">
        <v>104</v>
      </c>
      <c r="H30" s="218"/>
      <c r="I30" s="217" t="s">
        <v>33</v>
      </c>
      <c r="J30" s="218"/>
      <c r="K30" s="219" t="s">
        <v>33</v>
      </c>
      <c r="L30" s="219"/>
      <c r="M30" s="217" t="s">
        <v>33</v>
      </c>
      <c r="N30" s="219"/>
      <c r="O30" s="217" t="s">
        <v>33</v>
      </c>
      <c r="P30" s="219"/>
      <c r="Q30" s="217" t="s">
        <v>33</v>
      </c>
      <c r="R30" s="218"/>
      <c r="S30" s="219" t="s">
        <v>33</v>
      </c>
      <c r="T30" s="218"/>
    </row>
    <row r="31" spans="2:33" ht="23.8" customHeight="1">
      <c r="B31" s="115" t="s">
        <v>5</v>
      </c>
      <c r="C31" s="62"/>
      <c r="D31" s="90" t="s">
        <v>11</v>
      </c>
      <c r="E31" s="91">
        <f>F31/F29</f>
        <v>0</v>
      </c>
      <c r="F31" s="96">
        <f>(+F8+F9)/(F6)</f>
        <v>0</v>
      </c>
      <c r="G31" s="91">
        <f>H31/H29</f>
        <v>-3.7344832222117104E-2</v>
      </c>
      <c r="H31" s="96">
        <f>-H8/H6</f>
        <v>-3.5104142288790077</v>
      </c>
      <c r="I31" s="91">
        <v>0</v>
      </c>
      <c r="J31" s="96">
        <f>I31*J29</f>
        <v>0</v>
      </c>
      <c r="K31" s="94">
        <v>0</v>
      </c>
      <c r="L31" s="95">
        <f>K31*L29</f>
        <v>0</v>
      </c>
      <c r="M31" s="91">
        <f>-N31/N29</f>
        <v>0.17741186805787765</v>
      </c>
      <c r="N31" s="95">
        <f>N9/N6</f>
        <v>-16.382211896464423</v>
      </c>
      <c r="O31" s="91">
        <v>0</v>
      </c>
      <c r="P31" s="95">
        <f>O31*P29</f>
        <v>0</v>
      </c>
      <c r="Q31" s="91">
        <v>0</v>
      </c>
      <c r="R31" s="96">
        <f>Q31*R29</f>
        <v>0</v>
      </c>
      <c r="S31" s="94">
        <v>0</v>
      </c>
      <c r="T31" s="96">
        <f>S31*T29</f>
        <v>0</v>
      </c>
    </row>
    <row r="32" spans="2:33" ht="23.8" customHeight="1">
      <c r="B32" s="116" t="s">
        <v>43</v>
      </c>
      <c r="C32" s="76"/>
      <c r="D32" s="77"/>
      <c r="E32" s="98">
        <v>0</v>
      </c>
      <c r="F32" s="86">
        <f>+F29+F31</f>
        <v>75.34</v>
      </c>
      <c r="G32" s="99"/>
      <c r="H32" s="88">
        <f>+H29+H31</f>
        <v>90.489585771120986</v>
      </c>
      <c r="I32" s="99"/>
      <c r="J32" s="88">
        <f>+J29+J31</f>
        <v>82.13</v>
      </c>
      <c r="K32" s="100"/>
      <c r="L32" s="86">
        <f>+L29+L31</f>
        <v>62.832000000000001</v>
      </c>
      <c r="M32" s="99"/>
      <c r="N32" s="86">
        <f>N29+N31</f>
        <v>75.957788103535577</v>
      </c>
      <c r="O32" s="99"/>
      <c r="P32" s="86">
        <f>+P29+P31</f>
        <v>49.13</v>
      </c>
      <c r="Q32" s="99"/>
      <c r="R32" s="88">
        <f>+R29+R31</f>
        <v>39.340000000000003</v>
      </c>
      <c r="S32" s="100"/>
      <c r="T32" s="88">
        <f>+T29+T31</f>
        <v>38.963999999999999</v>
      </c>
    </row>
    <row r="33" spans="2:32" ht="23.8" customHeight="1">
      <c r="B33" s="113" t="s">
        <v>8</v>
      </c>
      <c r="C33" s="82"/>
      <c r="D33" s="114"/>
      <c r="E33" s="101">
        <v>0.08</v>
      </c>
      <c r="F33" s="102">
        <f>+F5</f>
        <v>41143</v>
      </c>
      <c r="G33" s="101">
        <f>E33</f>
        <v>0.08</v>
      </c>
      <c r="H33" s="103">
        <f>+H5</f>
        <v>41060</v>
      </c>
      <c r="I33" s="101">
        <f>E33</f>
        <v>0.08</v>
      </c>
      <c r="J33" s="103">
        <f>+J5</f>
        <v>41060</v>
      </c>
      <c r="K33" s="104">
        <f>G33</f>
        <v>0.08</v>
      </c>
      <c r="L33" s="102">
        <f>+L5</f>
        <v>40702</v>
      </c>
      <c r="M33" s="101">
        <f>K33</f>
        <v>0.08</v>
      </c>
      <c r="N33" s="102">
        <f>+N5</f>
        <v>40968</v>
      </c>
      <c r="O33" s="101">
        <f>M33</f>
        <v>0.08</v>
      </c>
      <c r="P33" s="102">
        <f>+P5</f>
        <v>39903</v>
      </c>
      <c r="Q33" s="101">
        <f>K33</f>
        <v>0.08</v>
      </c>
      <c r="R33" s="103">
        <f>+R5</f>
        <v>39721</v>
      </c>
      <c r="S33" s="104">
        <f>M33</f>
        <v>0.08</v>
      </c>
      <c r="T33" s="103">
        <f>+T5</f>
        <v>39667</v>
      </c>
    </row>
    <row r="34" spans="2:32" ht="23.8" customHeight="1">
      <c r="B34" s="115" t="s">
        <v>5</v>
      </c>
      <c r="C34" s="62"/>
      <c r="D34" s="105">
        <v>40909</v>
      </c>
      <c r="E34" s="106">
        <f>($D$34-F5)/365.333*E33</f>
        <v>-5.1240922665075427E-2</v>
      </c>
      <c r="F34" s="93">
        <f>F32*E34</f>
        <v>-3.8604911135867828</v>
      </c>
      <c r="G34" s="107">
        <f>($D$34-H5)/365.3333*G33</f>
        <v>-3.3065696447600039E-2</v>
      </c>
      <c r="H34" s="93">
        <f>H32*G34</f>
        <v>-2.9921011747769541</v>
      </c>
      <c r="I34" s="107">
        <f>($D$34-J5)/365.3333*I33</f>
        <v>-3.3065696447600039E-2</v>
      </c>
      <c r="J34" s="93">
        <f>J32*I34</f>
        <v>-2.715685649241391</v>
      </c>
      <c r="K34" s="107">
        <f>($D$34-L5)/365.3333*K33</f>
        <v>4.5328471289094098E-2</v>
      </c>
      <c r="L34" s="93">
        <f>L32*K34</f>
        <v>2.8480785080363602</v>
      </c>
      <c r="M34" s="107">
        <f>($D$34-N5)/365.3333*M33</f>
        <v>-1.2919709208002665E-2</v>
      </c>
      <c r="N34" s="93">
        <f>N32*M34</f>
        <v>-0.98135253438076386</v>
      </c>
      <c r="O34" s="107">
        <f>($D$34-P5)/365.3333*O33</f>
        <v>0.22029199090255394</v>
      </c>
      <c r="P34" s="93">
        <f>P32*O34</f>
        <v>10.822945513042475</v>
      </c>
      <c r="Q34" s="107">
        <f>($D$34-R5)/365.3333*Q33</f>
        <v>0.2601460091374096</v>
      </c>
      <c r="R34" s="93">
        <f>R32*Q34</f>
        <v>10.234143999465694</v>
      </c>
      <c r="S34" s="107">
        <f>($D$34-T5)/365.3333*S33</f>
        <v>0.2719708277345646</v>
      </c>
      <c r="T34" s="93">
        <f>T32*S34</f>
        <v>10.597071331849575</v>
      </c>
      <c r="U34" s="6" t="s">
        <v>17</v>
      </c>
      <c r="V34" s="23">
        <f>MIN(F35:T35)</f>
        <v>49.561071331849575</v>
      </c>
    </row>
    <row r="35" spans="2:32" ht="23.8" customHeight="1">
      <c r="B35" s="116" t="s">
        <v>43</v>
      </c>
      <c r="C35" s="76"/>
      <c r="D35" s="108"/>
      <c r="E35" s="98"/>
      <c r="F35" s="88">
        <f>F34+F32</f>
        <v>71.479508886413214</v>
      </c>
      <c r="G35" s="99"/>
      <c r="H35" s="88">
        <f>H32+H34</f>
        <v>87.497484596344037</v>
      </c>
      <c r="I35" s="99"/>
      <c r="J35" s="88">
        <f>J32+J34</f>
        <v>79.414314350758602</v>
      </c>
      <c r="K35" s="100"/>
      <c r="L35" s="86">
        <f>L32+L34</f>
        <v>65.68007850803636</v>
      </c>
      <c r="M35" s="99"/>
      <c r="N35" s="86">
        <f>N32+N34</f>
        <v>74.976435569154816</v>
      </c>
      <c r="O35" s="99"/>
      <c r="P35" s="86">
        <f>P32+P34</f>
        <v>59.952945513042479</v>
      </c>
      <c r="Q35" s="99"/>
      <c r="R35" s="88">
        <f>R32+R34</f>
        <v>49.574143999465697</v>
      </c>
      <c r="S35" s="100"/>
      <c r="T35" s="88">
        <f>T32+T34</f>
        <v>49.561071331849575</v>
      </c>
      <c r="U35" s="6" t="s">
        <v>18</v>
      </c>
      <c r="V35" s="23">
        <f>MAX(F35:T35)</f>
        <v>87.497484596344037</v>
      </c>
      <c r="X35" s="28">
        <f>V35-V34</f>
        <v>37.936413264494462</v>
      </c>
      <c r="Z35" s="30">
        <f>(X35-X25)/X25</f>
        <v>-0.46628568845674645</v>
      </c>
    </row>
    <row r="36" spans="2:32" ht="23.8" customHeight="1">
      <c r="B36" s="220" t="s">
        <v>96</v>
      </c>
      <c r="C36" s="221"/>
      <c r="D36" s="221"/>
      <c r="E36" s="221"/>
      <c r="F36" s="221"/>
      <c r="G36" s="221"/>
      <c r="H36" s="221"/>
      <c r="I36" s="221"/>
      <c r="J36" s="221"/>
      <c r="K36" s="221"/>
      <c r="L36" s="221"/>
      <c r="M36" s="221"/>
      <c r="N36" s="221"/>
      <c r="O36" s="221"/>
      <c r="P36" s="221"/>
      <c r="Q36" s="221"/>
      <c r="R36" s="221"/>
      <c r="S36" s="221"/>
      <c r="T36" s="222"/>
      <c r="V36" s="23"/>
      <c r="Z36" s="6" t="s">
        <v>60</v>
      </c>
    </row>
    <row r="37" spans="2:32" s="8" customFormat="1" ht="23.8" customHeight="1">
      <c r="B37" s="115"/>
      <c r="C37" s="62"/>
      <c r="D37" s="90" t="s">
        <v>64</v>
      </c>
      <c r="E37" s="223" t="s">
        <v>64</v>
      </c>
      <c r="F37" s="210"/>
      <c r="G37" s="223" t="s">
        <v>64</v>
      </c>
      <c r="H37" s="210"/>
      <c r="I37" s="223" t="s">
        <v>64</v>
      </c>
      <c r="J37" s="211"/>
      <c r="K37" s="210" t="s">
        <v>64</v>
      </c>
      <c r="L37" s="210"/>
      <c r="M37" s="223" t="s">
        <v>64</v>
      </c>
      <c r="N37" s="210"/>
      <c r="O37" s="223" t="s">
        <v>64</v>
      </c>
      <c r="P37" s="210"/>
      <c r="Q37" s="223" t="s">
        <v>64</v>
      </c>
      <c r="R37" s="211"/>
      <c r="S37" s="210" t="s">
        <v>64</v>
      </c>
      <c r="T37" s="211"/>
      <c r="V37" s="6"/>
    </row>
    <row r="38" spans="2:32" ht="23.8" customHeight="1">
      <c r="B38" s="119" t="s">
        <v>51</v>
      </c>
      <c r="C38" s="62"/>
      <c r="D38" s="144"/>
      <c r="E38" s="145"/>
      <c r="F38" s="146" t="str">
        <f>IF(F39&gt;0,"Inferior",IF(F39=0,"Similar","Superior"))</f>
        <v>Similar</v>
      </c>
      <c r="G38" s="145"/>
      <c r="H38" s="146" t="str">
        <f>IF(H39&gt;0,"Inferior",IF(H39=0,"Similar","Superior"))</f>
        <v>Similar</v>
      </c>
      <c r="I38" s="145"/>
      <c r="J38" s="146" t="str">
        <f>IF(J39&gt;0,"Inferior",IF(J39=0,"Similar","Superior"))</f>
        <v>Similar</v>
      </c>
      <c r="K38" s="147"/>
      <c r="L38" s="148" t="str">
        <f>IF(L39&gt;0,"Inferior",IF(L39=0,"Similar","Superior"))</f>
        <v>Similar</v>
      </c>
      <c r="M38" s="145"/>
      <c r="N38" s="148" t="str">
        <f>IF(N39&gt;0,"Inferior",IF(N39=0,"Similar","Superior"))</f>
        <v>Similar</v>
      </c>
      <c r="O38" s="145"/>
      <c r="P38" s="148" t="str">
        <f>IF(P39&gt;0,"Inferior",IF(P39=0,"Similar","Superior"))</f>
        <v>Similar</v>
      </c>
      <c r="Q38" s="145"/>
      <c r="R38" s="146" t="str">
        <f>IF(R39&gt;0,"Inferior",IF(R39=0,"Similar","Superior"))</f>
        <v>Similar</v>
      </c>
      <c r="S38" s="147"/>
      <c r="T38" s="146" t="str">
        <f>IF(T39&gt;0,"Inferior",IF(T39=0,"Similar","Superior"))</f>
        <v>Similar</v>
      </c>
      <c r="V38" s="23"/>
      <c r="W38" s="6" t="s">
        <v>102</v>
      </c>
    </row>
    <row r="39" spans="2:32" ht="23.8" customHeight="1">
      <c r="B39" s="149" t="s">
        <v>5</v>
      </c>
      <c r="C39" s="76"/>
      <c r="D39" s="77"/>
      <c r="E39" s="150">
        <v>0</v>
      </c>
      <c r="F39" s="88">
        <v>0</v>
      </c>
      <c r="G39" s="150">
        <v>0</v>
      </c>
      <c r="H39" s="88">
        <f>W39</f>
        <v>0</v>
      </c>
      <c r="I39" s="150">
        <v>0</v>
      </c>
      <c r="J39" s="88">
        <v>0</v>
      </c>
      <c r="K39" s="151">
        <v>0</v>
      </c>
      <c r="L39" s="86">
        <f>W39</f>
        <v>0</v>
      </c>
      <c r="M39" s="150">
        <v>0</v>
      </c>
      <c r="N39" s="86">
        <v>0</v>
      </c>
      <c r="O39" s="150">
        <v>0</v>
      </c>
      <c r="P39" s="86">
        <f>W39</f>
        <v>0</v>
      </c>
      <c r="Q39" s="150">
        <v>0</v>
      </c>
      <c r="R39" s="88">
        <v>0</v>
      </c>
      <c r="S39" s="151">
        <v>0</v>
      </c>
      <c r="T39" s="88">
        <v>0</v>
      </c>
      <c r="V39" s="23"/>
      <c r="W39" s="29"/>
      <c r="Z39" s="6">
        <v>106</v>
      </c>
    </row>
    <row r="40" spans="2:32" ht="23.8" customHeight="1">
      <c r="B40" s="152"/>
      <c r="C40" s="82"/>
      <c r="D40" s="153" t="s">
        <v>107</v>
      </c>
      <c r="E40" s="154" t="s">
        <v>68</v>
      </c>
      <c r="F40" s="155" t="s">
        <v>61</v>
      </c>
      <c r="G40" s="156">
        <v>46</v>
      </c>
      <c r="H40" s="155" t="s">
        <v>61</v>
      </c>
      <c r="I40" s="156">
        <v>10</v>
      </c>
      <c r="J40" s="155" t="s">
        <v>61</v>
      </c>
      <c r="K40" s="157">
        <v>14</v>
      </c>
      <c r="L40" s="155" t="s">
        <v>61</v>
      </c>
      <c r="M40" s="156">
        <v>20</v>
      </c>
      <c r="N40" s="155" t="s">
        <v>61</v>
      </c>
      <c r="O40" s="156">
        <v>42</v>
      </c>
      <c r="P40" s="155" t="s">
        <v>61</v>
      </c>
      <c r="Q40" s="156">
        <v>3</v>
      </c>
      <c r="R40" s="155" t="s">
        <v>61</v>
      </c>
      <c r="S40" s="157">
        <v>6</v>
      </c>
      <c r="T40" s="155" t="s">
        <v>61</v>
      </c>
      <c r="V40" s="31">
        <v>11</v>
      </c>
      <c r="W40" s="61">
        <v>1.4999999999999999E-2</v>
      </c>
      <c r="X40" s="31" t="s">
        <v>58</v>
      </c>
      <c r="Z40" s="32">
        <v>5.77</v>
      </c>
    </row>
    <row r="41" spans="2:32" ht="23.8" customHeight="1">
      <c r="B41" s="119" t="s">
        <v>48</v>
      </c>
      <c r="C41" s="62"/>
      <c r="D41" s="158"/>
      <c r="E41" s="145"/>
      <c r="F41" s="146" t="str">
        <f>IF(F42&gt;0,"Inferior",IF(F42=0,"Similar","Superior"))</f>
        <v>Inferior</v>
      </c>
      <c r="G41" s="145"/>
      <c r="H41" s="146" t="str">
        <f>IF(H42&gt;0,"Inferior",IF(H42=0,"Similar","Superior"))</f>
        <v>Inferior</v>
      </c>
      <c r="I41" s="145"/>
      <c r="J41" s="146" t="str">
        <f>IF(J42&gt;0,"Inferior",IF(J42=0,"Similar","Superior"))</f>
        <v>Superior</v>
      </c>
      <c r="K41" s="147"/>
      <c r="L41" s="148" t="str">
        <f>IF(L42&gt;0,"Inferior",IF(L42=0,"Similar","Superior"))</f>
        <v>Inferior</v>
      </c>
      <c r="M41" s="145"/>
      <c r="N41" s="148" t="str">
        <f>IF(N42&gt;0,"Inferior",IF(N42=0,"Similar","Superior"))</f>
        <v>Inferior</v>
      </c>
      <c r="O41" s="145"/>
      <c r="P41" s="148" t="str">
        <f>IF(P42&gt;0,"Inferior",IF(P42=0,"Similar","Superior"))</f>
        <v>Inferior</v>
      </c>
      <c r="Q41" s="145"/>
      <c r="R41" s="146" t="str">
        <f>IF(R42&gt;0,"Inferior",IF(R42=0,"Similar","Superior"))</f>
        <v>Superior</v>
      </c>
      <c r="S41" s="147"/>
      <c r="T41" s="146" t="str">
        <f>IF(T42&gt;0,"Inferior",IF(T42=0,"Similar","Superior"))</f>
        <v>Superior</v>
      </c>
      <c r="W41" s="23"/>
    </row>
    <row r="42" spans="2:32" ht="23.8" customHeight="1">
      <c r="B42" s="149" t="s">
        <v>5</v>
      </c>
      <c r="C42" s="76"/>
      <c r="D42" s="159"/>
      <c r="E42" s="150">
        <f>(E40-V40)*W40</f>
        <v>0.46499999999999997</v>
      </c>
      <c r="F42" s="88">
        <f>E42*F35</f>
        <v>33.237971632182145</v>
      </c>
      <c r="G42" s="151">
        <f>(G40-$V$40)*$W$40</f>
        <v>0.52500000000000002</v>
      </c>
      <c r="H42" s="88">
        <f>G42*H35</f>
        <v>45.936179413080623</v>
      </c>
      <c r="I42" s="151">
        <f>(I40-$V$40)*$W$40</f>
        <v>-1.4999999999999999E-2</v>
      </c>
      <c r="J42" s="88">
        <f>I42*J35</f>
        <v>-1.191214715261379</v>
      </c>
      <c r="K42" s="151">
        <f>(K40-$V$40)*$W$40</f>
        <v>4.4999999999999998E-2</v>
      </c>
      <c r="L42" s="88">
        <f>K42*L35</f>
        <v>2.9556035328616361</v>
      </c>
      <c r="M42" s="151">
        <f>(M40-$V$40)*$W$40</f>
        <v>0.13500000000000001</v>
      </c>
      <c r="N42" s="88">
        <f>M42*N35</f>
        <v>10.1218188018359</v>
      </c>
      <c r="O42" s="151">
        <f>(O40-$V$40)*$W$40</f>
        <v>0.46499999999999997</v>
      </c>
      <c r="P42" s="88">
        <f>O42*P35</f>
        <v>27.87811966356475</v>
      </c>
      <c r="Q42" s="151">
        <f>(Q40-$V$40)*$W$40</f>
        <v>-0.12</v>
      </c>
      <c r="R42" s="88">
        <f>Q42*R35</f>
        <v>-5.948897279935883</v>
      </c>
      <c r="S42" s="151">
        <f>(S40-$V$40)*$W$40</f>
        <v>-7.4999999999999997E-2</v>
      </c>
      <c r="T42" s="88">
        <f>S42*T35</f>
        <v>-3.7170803498887182</v>
      </c>
      <c r="AD42" s="6" t="s">
        <v>89</v>
      </c>
    </row>
    <row r="43" spans="2:32" ht="23.8" customHeight="1">
      <c r="B43" s="113"/>
      <c r="C43" s="82"/>
      <c r="D43" s="97"/>
      <c r="E43" s="212" t="s">
        <v>86</v>
      </c>
      <c r="F43" s="213"/>
      <c r="G43" s="214" t="s">
        <v>88</v>
      </c>
      <c r="H43" s="215"/>
      <c r="I43" s="214" t="s">
        <v>87</v>
      </c>
      <c r="J43" s="215"/>
      <c r="K43" s="216" t="s">
        <v>87</v>
      </c>
      <c r="L43" s="216"/>
      <c r="M43" s="214" t="s">
        <v>88</v>
      </c>
      <c r="N43" s="215"/>
      <c r="O43" s="214" t="s">
        <v>88</v>
      </c>
      <c r="P43" s="216"/>
      <c r="Q43" s="214" t="s">
        <v>87</v>
      </c>
      <c r="R43" s="215"/>
      <c r="S43" s="216" t="s">
        <v>87</v>
      </c>
      <c r="T43" s="215"/>
      <c r="W43" s="6">
        <v>0</v>
      </c>
      <c r="X43" s="31" t="s">
        <v>59</v>
      </c>
      <c r="Z43" s="32">
        <v>19.46</v>
      </c>
      <c r="AD43" s="6" t="s">
        <v>86</v>
      </c>
      <c r="AE43" s="6" t="s">
        <v>88</v>
      </c>
      <c r="AF43" s="6" t="s">
        <v>87</v>
      </c>
    </row>
    <row r="44" spans="2:32" ht="23.8" customHeight="1">
      <c r="B44" s="119" t="s">
        <v>85</v>
      </c>
      <c r="C44" s="62"/>
      <c r="D44" s="160" t="s">
        <v>87</v>
      </c>
      <c r="E44" s="145"/>
      <c r="F44" s="146" t="str">
        <f>IF(F45&gt;0,"Inferior",IF(F45=0,"Similar","Superior"))</f>
        <v>Superior</v>
      </c>
      <c r="G44" s="147"/>
      <c r="H44" s="146" t="str">
        <f>IF(H45&gt;0,"Inferior",IF(H45=0,"Similar","Superior"))</f>
        <v>Superior</v>
      </c>
      <c r="I44" s="145"/>
      <c r="J44" s="146" t="str">
        <f>IF(J45&gt;0,"Inferior",IF(J45=0,"Similar","Superior"))</f>
        <v>Similar</v>
      </c>
      <c r="K44" s="147"/>
      <c r="L44" s="148" t="str">
        <f>IF(L45&gt;0,"Inferior",IF(L45=0,"Similar","Superior"))</f>
        <v>Similar</v>
      </c>
      <c r="M44" s="145"/>
      <c r="N44" s="148" t="str">
        <f>IF(N45&gt;0,"Inferior",IF(N45=0,"Similar","Superior"))</f>
        <v>Superior</v>
      </c>
      <c r="O44" s="145"/>
      <c r="P44" s="148" t="str">
        <f>IF(P45&gt;0,"Inferior",IF(P45=0,"Similar","Superior"))</f>
        <v>Superior</v>
      </c>
      <c r="Q44" s="145"/>
      <c r="R44" s="146" t="str">
        <f>IF(R45&gt;0,"Inferior",IF(R45=0,"Similar","Superior"))</f>
        <v>Similar</v>
      </c>
      <c r="S44" s="147"/>
      <c r="T44" s="146" t="str">
        <f>IF(T45&gt;0,"Inferior",IF(T45=0,"Similar","Superior"))</f>
        <v>Similar</v>
      </c>
      <c r="AD44" s="6">
        <v>64.17</v>
      </c>
      <c r="AE44" s="6">
        <v>49.18</v>
      </c>
      <c r="AF44" s="6">
        <v>37.4</v>
      </c>
    </row>
    <row r="45" spans="2:32" ht="23.8" customHeight="1">
      <c r="B45" s="149" t="s">
        <v>5</v>
      </c>
      <c r="C45" s="76"/>
      <c r="D45" s="159"/>
      <c r="E45" s="150">
        <f>AD45</f>
        <v>-0.41717313386317595</v>
      </c>
      <c r="F45" s="88">
        <f>E45*F35</f>
        <v>-29.819330729145733</v>
      </c>
      <c r="G45" s="151">
        <f>AE45</f>
        <v>-0.23952826352175682</v>
      </c>
      <c r="H45" s="88">
        <f>G45*H35</f>
        <v>-20.958120547883954</v>
      </c>
      <c r="I45" s="150">
        <v>0</v>
      </c>
      <c r="J45" s="88">
        <v>0</v>
      </c>
      <c r="K45" s="151">
        <v>0</v>
      </c>
      <c r="L45" s="88">
        <v>0</v>
      </c>
      <c r="M45" s="151">
        <f>$AE$45</f>
        <v>-0.23952826352175682</v>
      </c>
      <c r="N45" s="88">
        <f>M45*N35</f>
        <v>-17.958975416930535</v>
      </c>
      <c r="O45" s="151">
        <f>$AE$45</f>
        <v>-0.23952826352175682</v>
      </c>
      <c r="P45" s="88">
        <f>O45*P35</f>
        <v>-14.360424931753567</v>
      </c>
      <c r="Q45" s="150">
        <v>0</v>
      </c>
      <c r="R45" s="88">
        <v>0</v>
      </c>
      <c r="S45" s="151">
        <v>0</v>
      </c>
      <c r="T45" s="88">
        <v>0</v>
      </c>
      <c r="AC45" s="6" t="s">
        <v>90</v>
      </c>
      <c r="AD45" s="30">
        <f>(AF44-AD44)/AD44</f>
        <v>-0.41717313386317595</v>
      </c>
      <c r="AE45" s="30">
        <f>(AF44-AE44)/AE44</f>
        <v>-0.23952826352175682</v>
      </c>
    </row>
    <row r="46" spans="2:32" ht="23.8" customHeight="1">
      <c r="B46" s="152"/>
      <c r="C46" s="82"/>
      <c r="D46" s="97"/>
      <c r="E46" s="205">
        <f>F6</f>
        <v>212375</v>
      </c>
      <c r="F46" s="209"/>
      <c r="G46" s="202">
        <f>H6</f>
        <v>51276</v>
      </c>
      <c r="H46" s="203"/>
      <c r="I46" s="202">
        <f>J6</f>
        <v>121638</v>
      </c>
      <c r="J46" s="203"/>
      <c r="K46" s="204">
        <f>L6</f>
        <v>140684</v>
      </c>
      <c r="L46" s="204"/>
      <c r="M46" s="202">
        <f>N6</f>
        <v>67146</v>
      </c>
      <c r="N46" s="203"/>
      <c r="O46" s="202">
        <f>P6</f>
        <v>52920</v>
      </c>
      <c r="P46" s="204"/>
      <c r="Q46" s="202">
        <f>R6</f>
        <v>127082</v>
      </c>
      <c r="R46" s="203"/>
      <c r="S46" s="204">
        <f>T6</f>
        <v>139588</v>
      </c>
      <c r="T46" s="203"/>
      <c r="W46" s="31">
        <v>-2</v>
      </c>
      <c r="X46" s="6" t="s">
        <v>69</v>
      </c>
    </row>
    <row r="47" spans="2:32" ht="23.8" customHeight="1">
      <c r="B47" s="119" t="s">
        <v>49</v>
      </c>
      <c r="C47" s="62"/>
      <c r="D47" s="158">
        <f>D22</f>
        <v>137562</v>
      </c>
      <c r="E47" s="145"/>
      <c r="F47" s="146" t="str">
        <f>IF(F48&gt;0,"Inferior",IF(F48=0,"Similar","Superior"))</f>
        <v>Inferior</v>
      </c>
      <c r="G47" s="145"/>
      <c r="H47" s="146" t="str">
        <f>IF(H48&gt;0,"Inferior",IF(H48=0,"Similar","Superior"))</f>
        <v>Superior</v>
      </c>
      <c r="I47" s="145"/>
      <c r="J47" s="146" t="str">
        <f>IF(J48&gt;0,"Inferior",IF(J48=0,"Similar","Superior"))</f>
        <v>Superior</v>
      </c>
      <c r="K47" s="147"/>
      <c r="L47" s="148" t="str">
        <f>IF(L48&gt;0,"Inferior",IF(L48=0,"Similar","Superior"))</f>
        <v>Inferior</v>
      </c>
      <c r="M47" s="145"/>
      <c r="N47" s="148" t="str">
        <f>IF(N48&gt;0,"Inferior",IF(N48=0,"Similar","Superior"))</f>
        <v>Superior</v>
      </c>
      <c r="O47" s="145"/>
      <c r="P47" s="148" t="str">
        <f>IF(P48&gt;0,"Inferior",IF(P48=0,"Similar","Superior"))</f>
        <v>Superior</v>
      </c>
      <c r="Q47" s="145"/>
      <c r="R47" s="146" t="str">
        <f>IF(R48&gt;0,"Inferior",IF(R48=0,"Similar","Superior"))</f>
        <v>Superior</v>
      </c>
      <c r="S47" s="147"/>
      <c r="T47" s="146" t="str">
        <f>IF(T48&gt;0,"Inferior",IF(T48=0,"Similar","Superior"))</f>
        <v>Inferior</v>
      </c>
    </row>
    <row r="48" spans="2:32" ht="23.8" customHeight="1">
      <c r="B48" s="149" t="s">
        <v>5</v>
      </c>
      <c r="C48" s="76"/>
      <c r="D48" s="159"/>
      <c r="E48" s="161">
        <f>F48/F35</f>
        <v>0.20932712371844631</v>
      </c>
      <c r="F48" s="88">
        <f>-(E46-$D$47)/10000*$W$46</f>
        <v>14.9626</v>
      </c>
      <c r="G48" s="161">
        <f>H48/H35</f>
        <v>-0.1972308127440851</v>
      </c>
      <c r="H48" s="88">
        <f>-(G46-$D$47)/10000*$W$46</f>
        <v>-17.257200000000001</v>
      </c>
      <c r="I48" s="161">
        <f>J48/J35</f>
        <v>-4.0103601297032131E-2</v>
      </c>
      <c r="J48" s="88">
        <f>-(I46-$D$47)/10000*$W$46</f>
        <v>-3.1848000000000001</v>
      </c>
      <c r="K48" s="161">
        <f>L48/L35</f>
        <v>9.5066877839313293E-3</v>
      </c>
      <c r="L48" s="88">
        <f>-(K46-$D$47)/10000*$W$46</f>
        <v>0.62439999999999996</v>
      </c>
      <c r="M48" s="161">
        <f>N48/N35</f>
        <v>-0.1878350163367036</v>
      </c>
      <c r="N48" s="88">
        <f>-(M46-$D$47)/10000*$W$46</f>
        <v>-14.0832</v>
      </c>
      <c r="O48" s="161">
        <f>P48/P35</f>
        <v>-0.2823614395445726</v>
      </c>
      <c r="P48" s="88">
        <f>-(O46-$D$47)/10000*$W$46</f>
        <v>-16.9284</v>
      </c>
      <c r="Q48" s="161">
        <f>R48/R35</f>
        <v>-4.2280104726015851E-2</v>
      </c>
      <c r="R48" s="88">
        <f>-(Q46-$D$47)/10000*$W$46</f>
        <v>-2.0960000000000001</v>
      </c>
      <c r="S48" s="161">
        <f>T48/T$35</f>
        <v>8.1757716108853597E-3</v>
      </c>
      <c r="T48" s="88">
        <f>-(S46-$D$47)/10000*$W$46</f>
        <v>0.4052</v>
      </c>
      <c r="V48" s="33"/>
    </row>
    <row r="49" spans="2:33" ht="23.8" customHeight="1">
      <c r="B49" s="152"/>
      <c r="C49" s="82"/>
      <c r="D49" s="97" t="s">
        <v>40</v>
      </c>
      <c r="E49" s="205">
        <v>18900</v>
      </c>
      <c r="F49" s="206"/>
      <c r="G49" s="202">
        <v>88000</v>
      </c>
      <c r="H49" s="207"/>
      <c r="I49" s="202">
        <v>9500</v>
      </c>
      <c r="J49" s="207"/>
      <c r="K49" s="204">
        <v>47500</v>
      </c>
      <c r="L49" s="208"/>
      <c r="M49" s="202">
        <v>24100</v>
      </c>
      <c r="N49" s="203"/>
      <c r="O49" s="202">
        <v>2500</v>
      </c>
      <c r="P49" s="208"/>
      <c r="Q49" s="202">
        <v>11200</v>
      </c>
      <c r="R49" s="207"/>
      <c r="S49" s="204">
        <v>6800</v>
      </c>
      <c r="T49" s="207"/>
    </row>
    <row r="50" spans="2:33" ht="23.8" customHeight="1">
      <c r="B50" s="119" t="s">
        <v>94</v>
      </c>
      <c r="C50" s="62"/>
      <c r="D50" s="158">
        <v>35000</v>
      </c>
      <c r="E50" s="145"/>
      <c r="F50" s="146" t="str">
        <f>IF(F51&gt;0,"Inferior",IF(F51=0,"Similar","Superior"))</f>
        <v>Inferior</v>
      </c>
      <c r="G50" s="145"/>
      <c r="H50" s="146" t="str">
        <f>IF(H51&gt;0,"Inferior",IF(H51=0,"Similar","Superior"))</f>
        <v>Superior</v>
      </c>
      <c r="I50" s="145"/>
      <c r="J50" s="146" t="str">
        <f>IF(J51&gt;0,"Inferior",IF(J51=0,"Similar","Superior"))</f>
        <v>Inferior</v>
      </c>
      <c r="K50" s="147"/>
      <c r="L50" s="148" t="str">
        <f>IF(L51&gt;0,"Inferior",IF(L51=0,"Similar","Superior"))</f>
        <v>Superior</v>
      </c>
      <c r="M50" s="145"/>
      <c r="N50" s="148" t="str">
        <f>IF(N51&gt;0,"Inferior",IF(N51=0,"Similar","Superior"))</f>
        <v>Inferior</v>
      </c>
      <c r="O50" s="145"/>
      <c r="P50" s="148" t="str">
        <f>IF(P51&gt;0,"Inferior",IF(P51=0,"Similar","Superior"))</f>
        <v>Inferior</v>
      </c>
      <c r="Q50" s="145"/>
      <c r="R50" s="146" t="str">
        <f>IF(R51&gt;0,"Inferior",IF(R51=0,"Similar","Superior"))</f>
        <v>Inferior</v>
      </c>
      <c r="S50" s="147"/>
      <c r="T50" s="146" t="str">
        <f>IF(T51&gt;0,"Inferior",IF(T51=0,"Similar","Superior"))</f>
        <v>Inferior</v>
      </c>
      <c r="W50" s="6">
        <v>6</v>
      </c>
      <c r="X50" s="6" t="s">
        <v>70</v>
      </c>
    </row>
    <row r="51" spans="2:33" ht="23.8" customHeight="1">
      <c r="B51" s="149" t="s">
        <v>5</v>
      </c>
      <c r="C51" s="76"/>
      <c r="D51" s="159"/>
      <c r="E51" s="161">
        <f>F51/F$35</f>
        <v>0.13514362578162828</v>
      </c>
      <c r="F51" s="88">
        <f>($D$50-E49)/10000*$W$50</f>
        <v>9.66</v>
      </c>
      <c r="G51" s="161">
        <f>H51/H$35</f>
        <v>-0.36343901938100648</v>
      </c>
      <c r="H51" s="88">
        <f>($D$50-G49)/10000*$W$50</f>
        <v>-31.799999999999997</v>
      </c>
      <c r="I51" s="161">
        <f>J51/J$35</f>
        <v>0.19266048098611893</v>
      </c>
      <c r="J51" s="88">
        <f>($D$50-I49)/10000*$W$50</f>
        <v>15.299999999999999</v>
      </c>
      <c r="K51" s="161">
        <f>L51/L$35</f>
        <v>-0.1141898756878363</v>
      </c>
      <c r="L51" s="88">
        <f>($D$50-K49)/10000*$W$50</f>
        <v>-7.5</v>
      </c>
      <c r="M51" s="161">
        <f>N51/N$35</f>
        <v>8.7227406189079315E-2</v>
      </c>
      <c r="N51" s="88">
        <f>($D$50-M49)/10000*$W$50</f>
        <v>6.5400000000000009</v>
      </c>
      <c r="O51" s="161">
        <f>P51/P$35</f>
        <v>0.32525507851416352</v>
      </c>
      <c r="P51" s="88">
        <f>($D$50-O49)/10000*$W$50</f>
        <v>19.5</v>
      </c>
      <c r="Q51" s="161">
        <f>R51/R$35</f>
        <v>0.28805338525167284</v>
      </c>
      <c r="R51" s="88">
        <f>($D$50-Q49)/10000*$W$50</f>
        <v>14.28</v>
      </c>
      <c r="S51" s="161">
        <f>T51/T$35</f>
        <v>0.34139697842097794</v>
      </c>
      <c r="T51" s="88">
        <f>($D$50-S49)/10000*$W$50</f>
        <v>16.919999999999998</v>
      </c>
      <c r="X51" s="34"/>
      <c r="Y51" s="34"/>
    </row>
    <row r="52" spans="2:33" ht="23.8" customHeight="1">
      <c r="B52" s="162"/>
      <c r="C52" s="163"/>
      <c r="D52" s="163"/>
      <c r="E52" s="164">
        <v>5</v>
      </c>
      <c r="F52" s="165"/>
      <c r="G52" s="166">
        <v>2</v>
      </c>
      <c r="H52" s="165"/>
      <c r="I52" s="164">
        <v>4</v>
      </c>
      <c r="J52" s="167"/>
      <c r="K52" s="168">
        <v>3</v>
      </c>
      <c r="L52" s="165"/>
      <c r="M52" s="166">
        <v>3</v>
      </c>
      <c r="N52" s="165"/>
      <c r="O52" s="166">
        <v>3</v>
      </c>
      <c r="P52" s="169"/>
      <c r="Q52" s="164">
        <v>2</v>
      </c>
      <c r="R52" s="167"/>
      <c r="S52" s="168">
        <v>3</v>
      </c>
      <c r="T52" s="167"/>
    </row>
    <row r="53" spans="2:33" ht="23.8" customHeight="1">
      <c r="B53" s="170" t="s">
        <v>12</v>
      </c>
      <c r="C53" s="163"/>
      <c r="D53" s="163">
        <v>4</v>
      </c>
      <c r="E53" s="171"/>
      <c r="F53" s="146" t="str">
        <f>IF(F54&gt;0,"Inferior",IF(F54=0,"Similar","Superior"))</f>
        <v>Superior</v>
      </c>
      <c r="G53" s="172"/>
      <c r="H53" s="146" t="str">
        <f>IF(H54&gt;0,"Inferior",IF(H54=0,"Similar","Superior"))</f>
        <v>Inferior</v>
      </c>
      <c r="I53" s="171"/>
      <c r="J53" s="146" t="str">
        <f>IF(J54&gt;0,"Inferior",IF(J54=0,"Similar","Superior"))</f>
        <v>Similar</v>
      </c>
      <c r="K53" s="172"/>
      <c r="L53" s="146" t="str">
        <f>IF(L54&gt;0,"Inferior",IF(L54=0,"Similar","Superior"))</f>
        <v>Inferior</v>
      </c>
      <c r="M53" s="172"/>
      <c r="N53" s="146" t="str">
        <f>IF(N54&gt;0,"Inferior",IF(N54=0,"Similar","Superior"))</f>
        <v>Inferior</v>
      </c>
      <c r="O53" s="172"/>
      <c r="P53" s="146" t="str">
        <f>IF(P54&gt;0,"Inferior",IF(P54=0,"Similar","Superior"))</f>
        <v>Inferior</v>
      </c>
      <c r="Q53" s="171"/>
      <c r="R53" s="146" t="str">
        <f>IF(R54&gt;0,"Inferior",IF(R54=0,"Similar","Superior"))</f>
        <v>Inferior</v>
      </c>
      <c r="S53" s="172"/>
      <c r="T53" s="146" t="str">
        <f>IF(T54&gt;0,"Inferior",IF(T54=0,"Similar","Superior"))</f>
        <v>Inferior</v>
      </c>
      <c r="W53" s="6">
        <v>14</v>
      </c>
      <c r="X53" s="6" t="s">
        <v>59</v>
      </c>
    </row>
    <row r="54" spans="2:33" ht="23.8" customHeight="1" thickBot="1">
      <c r="B54" s="173" t="s">
        <v>5</v>
      </c>
      <c r="C54" s="174"/>
      <c r="D54" s="175"/>
      <c r="E54" s="161">
        <f>F54/F$35</f>
        <v>-0.19586032721975111</v>
      </c>
      <c r="F54" s="176">
        <f>($D$53-E52)*$W$53</f>
        <v>-14</v>
      </c>
      <c r="G54" s="161">
        <f>H54/H$35</f>
        <v>0.3200091994549743</v>
      </c>
      <c r="H54" s="176">
        <f>($D$53-G52)*$W$53</f>
        <v>28</v>
      </c>
      <c r="I54" s="161">
        <f>J54/J$35</f>
        <v>0</v>
      </c>
      <c r="J54" s="176">
        <f>($D$53-I52)*$W$53</f>
        <v>0</v>
      </c>
      <c r="K54" s="161">
        <f>L54/L$35</f>
        <v>0.21315443461729441</v>
      </c>
      <c r="L54" s="176">
        <f>($D$53-K52)*$W$53</f>
        <v>14</v>
      </c>
      <c r="M54" s="161">
        <f>N54/N$35</f>
        <v>0.18672533434971103</v>
      </c>
      <c r="N54" s="176">
        <f>($D$53-M52)*$W$53</f>
        <v>14</v>
      </c>
      <c r="O54" s="161">
        <f>P54/P$35</f>
        <v>0.23351646662555331</v>
      </c>
      <c r="P54" s="176">
        <f>($D$53-O52)*$W$53</f>
        <v>14</v>
      </c>
      <c r="Q54" s="161">
        <f>R54/R$35</f>
        <v>0.56481055931700563</v>
      </c>
      <c r="R54" s="176">
        <f>($D$53-Q52)*$W$53</f>
        <v>28</v>
      </c>
      <c r="S54" s="161">
        <f>T54/T$35</f>
        <v>0.28247976937905978</v>
      </c>
      <c r="T54" s="176">
        <f>($D$53-S52)*$W$53</f>
        <v>14</v>
      </c>
    </row>
    <row r="55" spans="2:33" s="34" customFormat="1" ht="26.15" customHeight="1">
      <c r="B55" s="177" t="s">
        <v>42</v>
      </c>
      <c r="C55" s="178"/>
      <c r="D55" s="179"/>
      <c r="E55" s="180"/>
      <c r="F55" s="181">
        <f>F35+F39+F42+F54+F45+F51+F48</f>
        <v>85.52074978944961</v>
      </c>
      <c r="G55" s="182"/>
      <c r="H55" s="181">
        <f>H35+H39+H42+H54+H45+H51+H48</f>
        <v>91.418343461540701</v>
      </c>
      <c r="I55" s="182"/>
      <c r="J55" s="181">
        <f>J35+J39+J42+J54+J45+J51+J48</f>
        <v>90.338299635497222</v>
      </c>
      <c r="K55" s="183"/>
      <c r="L55" s="184">
        <f>L35+L39+L42+L54+L45+L51+L48</f>
        <v>75.760082040897984</v>
      </c>
      <c r="M55" s="182"/>
      <c r="N55" s="184">
        <f>N35+N39+N42+N54+N45+N51+N48</f>
        <v>73.596078954060189</v>
      </c>
      <c r="O55" s="182"/>
      <c r="P55" s="184">
        <f>P35+P39+P42+P54+P45+P51+P48</f>
        <v>90.042240244853659</v>
      </c>
      <c r="Q55" s="182"/>
      <c r="R55" s="181">
        <f>R35+R39+R42+R54+R45+R51+R48</f>
        <v>83.80924671952981</v>
      </c>
      <c r="S55" s="183"/>
      <c r="T55" s="181">
        <f>T35+T39+T42+T54+T45+T51+T48</f>
        <v>77.169190981960853</v>
      </c>
      <c r="U55" s="34" t="s">
        <v>14</v>
      </c>
      <c r="V55" s="28">
        <f>AVERAGE(F55:T55)</f>
        <v>83.45677897847375</v>
      </c>
      <c r="X55" s="6"/>
      <c r="Y55" s="6"/>
      <c r="AE55" s="6"/>
      <c r="AF55" s="6"/>
      <c r="AG55" s="6"/>
    </row>
    <row r="56" spans="2:33" s="120" customFormat="1" ht="26.15" customHeight="1">
      <c r="B56" s="121"/>
      <c r="C56" s="45"/>
      <c r="D56" s="122"/>
      <c r="E56" s="125" t="s">
        <v>19</v>
      </c>
      <c r="F56" s="126">
        <f>(F$25+F$28+F$31+F$34+F$39+F$42+F$54+F51+F48+F45)/F$23</f>
        <v>0.1351307378477519</v>
      </c>
      <c r="G56" s="126"/>
      <c r="H56" s="126">
        <f>(H$25+H$28+H$31+H$34+H$39+H$42+H$54+H51+H48+H45)/H$23</f>
        <v>-2.7464431260205233E-2</v>
      </c>
      <c r="I56" s="126"/>
      <c r="J56" s="130">
        <f>(J$25+J$28+J$31+J$34+J$39+J$42+J$54+J51+J48+J45)/J$23</f>
        <v>9.9942769213408389E-2</v>
      </c>
      <c r="K56" s="126"/>
      <c r="L56" s="126">
        <f>(L$25+L$28+L$31+L$34+L$39+L$42+L$54+L51+L48+L45)/L$23</f>
        <v>1.0497857695048158</v>
      </c>
      <c r="M56" s="126"/>
      <c r="N56" s="130">
        <f>(N$25+N$28+N$31+N$34+N$39+N$42+N$54+N51+N48+N45)/N$23</f>
        <v>-0.20298809882975763</v>
      </c>
      <c r="O56" s="126"/>
      <c r="P56" s="126">
        <f>(P$25+P$28+P$31+P$34+P$39+P$42+P$54+P51+P48+P45)/P$23</f>
        <v>0.83273438316412873</v>
      </c>
      <c r="Q56" s="126"/>
      <c r="R56" s="126">
        <f>(R$25+R$28+R$31+R$34+R$39+R$42+R$54+R51+R48+R45)/R$23</f>
        <v>1.1303824788899288</v>
      </c>
      <c r="S56" s="126"/>
      <c r="T56" s="132">
        <f>(T$25+T$28+T$31+T$34+T$39+T$42+T$54+T51+T48+T45)/T$23</f>
        <v>2.3668931493002119</v>
      </c>
      <c r="V56" s="123"/>
      <c r="X56" s="124"/>
      <c r="Y56" s="124"/>
      <c r="AE56" s="124"/>
      <c r="AF56" s="124"/>
      <c r="AG56" s="124"/>
    </row>
    <row r="57" spans="2:33" s="120" customFormat="1" ht="26.15" customHeight="1">
      <c r="B57" s="121"/>
      <c r="C57" s="45"/>
      <c r="D57" s="122"/>
      <c r="E57" s="127" t="s">
        <v>20</v>
      </c>
      <c r="F57" s="128">
        <f>(ABS(F$25)+ABS(F$28)+ABS(F$31)+ABS(F$34)+ABS(F$39)+ABS(F$42)+ABS(F$54)+ABS(F$51)+ABS(F$45)+ABS(F$48)+ABS(F$51))/F$23</f>
        <v>1.529073446707123</v>
      </c>
      <c r="G57" s="129"/>
      <c r="H57" s="128">
        <f>(ABS(H$25)+ABS(H$28)+ABS(H$31)+ABS(H$34)+ABS(H$39)+ABS(H$42)+ABS(H$54)+ABS(H$51)+ABS(H$45)+ABS(H$48)+ABS(H$51))/H$23</f>
        <v>1.9388725038789421</v>
      </c>
      <c r="I57" s="129"/>
      <c r="J57" s="131">
        <f>(ABS(J$25)+ABS(J$28)+ABS(J$31)+ABS(J$34)+ABS(J$39)+ABS(J$42)+ABS(J$54)+ABS(J$51)+ABS(J$45)+ABS(J$48)+ABS(J$51))/J$23</f>
        <v>0.45892731479974147</v>
      </c>
      <c r="K57" s="129"/>
      <c r="L57" s="128">
        <f>(ABS(L$25)+ABS(L$28)+ABS(L$31)+ABS(L$34)+ABS(L$39)+ABS(L$42)+ABS(L$54)+ABS(L$51)+ABS(L$45)+ABS(L$48)+ABS(L$51))/L$23</f>
        <v>1.6585520032710497</v>
      </c>
      <c r="M57" s="129"/>
      <c r="N57" s="131">
        <f>(ABS(N$25)+ABS(N$28)+ABS(N$31)+ABS(N$34)+ABS(N$39)+ABS(N$42)+ABS(N$54)+ABS(N$51)+ABS(N$45)+ABS(N$48)+ABS(N$51))/N$23</f>
        <v>0.93792027993948046</v>
      </c>
      <c r="O57" s="129"/>
      <c r="P57" s="128">
        <f>(ABS(P$25)+ABS(P$28)+ABS(P$31)+ABS(P$34)+ABS(P$39)+ABS(P$42)+ABS(P$54)+ABS(P$51)+ABS(P$45)+ABS(P$48)+ABS(P$51))/P$23</f>
        <v>2.5033562000480516</v>
      </c>
      <c r="Q57" s="129"/>
      <c r="R57" s="128">
        <f>(ABS(R$25)+ABS(R$28)+ABS(R$31)+ABS(R$34)+ABS(R$39)+ABS(R$42)+ABS(R$54)+ABS(R$51)+ABS(R$45)+ABS(R$48)+ABS(R$51))/R$23</f>
        <v>1.9023650553991249</v>
      </c>
      <c r="S57" s="129"/>
      <c r="T57" s="133">
        <f>(ABS(T$25)+ABS(T$28)+ABS(T$31)+ABS(T$34)+ABS(T$39)+ABS(T$42)+ABS(T$54)+ABS(T$51)+ABS(T$45)+ABS(T$48)+ABS(T$51))/T$23</f>
        <v>3.4294656056604835</v>
      </c>
      <c r="V57" s="123"/>
      <c r="X57" s="124"/>
      <c r="Y57" s="124"/>
      <c r="AE57" s="124"/>
      <c r="AF57" s="124"/>
      <c r="AG57" s="124"/>
    </row>
    <row r="58" spans="2:33" s="120" customFormat="1" ht="26.15" customHeight="1">
      <c r="B58" s="121"/>
      <c r="C58" s="45"/>
      <c r="D58" s="122"/>
      <c r="E58" s="1"/>
      <c r="F58" s="39"/>
      <c r="G58" s="38"/>
      <c r="H58" s="39"/>
      <c r="I58" s="38"/>
      <c r="J58" s="39"/>
      <c r="K58" s="38"/>
      <c r="L58" s="39"/>
      <c r="M58" s="38"/>
      <c r="N58" s="39"/>
      <c r="O58" s="38"/>
      <c r="P58" s="39"/>
      <c r="Q58" s="38"/>
      <c r="R58" s="39"/>
      <c r="S58" s="38"/>
      <c r="T58" s="39"/>
      <c r="V58" s="123"/>
      <c r="X58" s="124"/>
      <c r="Y58" s="124"/>
      <c r="AE58" s="124"/>
      <c r="AF58" s="124"/>
      <c r="AG58" s="124"/>
    </row>
    <row r="59" spans="2:33">
      <c r="B59" s="192" t="str">
        <f>B18</f>
        <v>3205 Vicksburg Ln  N</v>
      </c>
      <c r="C59" s="193"/>
      <c r="D59" s="194"/>
      <c r="E59" s="2"/>
      <c r="F59" s="39"/>
      <c r="G59" s="38"/>
      <c r="H59" s="39"/>
      <c r="I59" s="38"/>
      <c r="J59" s="39"/>
      <c r="K59" s="38"/>
      <c r="L59" s="39"/>
      <c r="M59" s="38"/>
      <c r="N59" s="39"/>
      <c r="O59" s="38"/>
      <c r="P59" s="39"/>
      <c r="Q59" s="38"/>
      <c r="R59" s="39"/>
      <c r="S59" s="38"/>
      <c r="T59" s="39"/>
      <c r="U59" s="6" t="s">
        <v>15</v>
      </c>
      <c r="V59" s="28">
        <f>MEDIAN(F55:T55)</f>
        <v>84.664998254489717</v>
      </c>
      <c r="X59" s="6" t="s">
        <v>34</v>
      </c>
    </row>
    <row r="60" spans="2:33" ht="18.45" thickBot="1">
      <c r="B60" s="195"/>
      <c r="C60" s="196"/>
      <c r="D60" s="197"/>
      <c r="E60" s="37" t="s">
        <v>100</v>
      </c>
      <c r="F60" s="112">
        <f>F35+F39+F42+F45+F48+F51</f>
        <v>99.52074978944961</v>
      </c>
      <c r="G60" s="37"/>
      <c r="H60" s="112">
        <f>H35+H39+H42+H45+H48+H51</f>
        <v>63.418343461540715</v>
      </c>
      <c r="I60" s="37"/>
      <c r="J60" s="112">
        <f>J35+J39+J42+J45+J48+J51</f>
        <v>90.338299635497222</v>
      </c>
      <c r="K60" s="37"/>
      <c r="L60" s="112">
        <f>L35+L39+L42+L45+L48+L51</f>
        <v>61.760082040897984</v>
      </c>
      <c r="M60" s="38"/>
      <c r="N60" s="112">
        <f>N35+N39+N42+N45+N48+N51</f>
        <v>59.596078954060189</v>
      </c>
      <c r="O60" s="38"/>
      <c r="P60" s="112">
        <f>P35+P39+P42+P45+P48+P51</f>
        <v>76.042240244853659</v>
      </c>
      <c r="Q60" s="38"/>
      <c r="R60" s="112">
        <f>R35+R39+R42+R45+R48+R51</f>
        <v>55.80924671952981</v>
      </c>
      <c r="S60" s="38"/>
      <c r="T60" s="112">
        <f>T35+T39+T42+T45+T48+T51</f>
        <v>63.169190981960853</v>
      </c>
      <c r="U60" s="6" t="s">
        <v>16</v>
      </c>
      <c r="V60" s="28">
        <f>STDEV(F55:T55)</f>
        <v>7.1163860833728583</v>
      </c>
      <c r="X60" s="28">
        <f>V62-V61</f>
        <v>17.822264507480511</v>
      </c>
    </row>
    <row r="61" spans="2:33">
      <c r="B61" s="134"/>
      <c r="C61" s="2"/>
      <c r="D61" s="135"/>
      <c r="E61" s="2"/>
      <c r="F61" s="39"/>
      <c r="G61" s="38"/>
      <c r="H61" s="39"/>
      <c r="I61" s="38"/>
      <c r="J61" s="39"/>
      <c r="K61" s="38"/>
      <c r="L61" s="39"/>
      <c r="M61" s="38"/>
      <c r="N61" s="39"/>
      <c r="O61" s="38"/>
      <c r="P61" s="39"/>
      <c r="Q61" s="38"/>
      <c r="R61" s="39"/>
      <c r="S61" s="38"/>
      <c r="T61" s="39"/>
      <c r="U61" s="6" t="s">
        <v>17</v>
      </c>
      <c r="V61" s="28">
        <f>MIN(F55:T55)</f>
        <v>73.596078954060189</v>
      </c>
      <c r="X61" s="30">
        <f>(X60-X25)/X25</f>
        <v>-0.74926470867359996</v>
      </c>
    </row>
    <row r="62" spans="2:33">
      <c r="B62" s="134" t="s">
        <v>38</v>
      </c>
      <c r="C62" s="2"/>
      <c r="D62" s="136">
        <f>MIN(F55:T55)</f>
        <v>73.596078954060189</v>
      </c>
      <c r="E62" s="2"/>
      <c r="F62" s="41"/>
      <c r="G62" s="38"/>
      <c r="H62" s="39"/>
      <c r="I62" s="38"/>
      <c r="J62" s="39"/>
      <c r="K62" s="38"/>
      <c r="L62" s="39"/>
      <c r="M62" s="38"/>
      <c r="N62" s="39"/>
      <c r="O62" s="38"/>
      <c r="P62" s="39"/>
      <c r="Q62" s="38"/>
      <c r="R62" s="39"/>
      <c r="S62" s="38"/>
      <c r="T62" s="39"/>
      <c r="U62" s="6" t="s">
        <v>18</v>
      </c>
      <c r="V62" s="28">
        <f>MAX(F55:T55)</f>
        <v>91.418343461540701</v>
      </c>
    </row>
    <row r="63" spans="2:33">
      <c r="B63" s="134" t="s">
        <v>37</v>
      </c>
      <c r="C63" s="2"/>
      <c r="D63" s="136">
        <f>MAX(F55:T55)</f>
        <v>91.418343461540701</v>
      </c>
      <c r="E63" s="43"/>
      <c r="F63" s="26">
        <f>F35+F39+F42+F45+F48+F51</f>
        <v>99.52074978944961</v>
      </c>
      <c r="G63" s="42"/>
      <c r="H63" s="26">
        <f>H35+H39+H42+H45+H48+H51</f>
        <v>63.418343461540715</v>
      </c>
      <c r="I63" s="43"/>
      <c r="J63" s="26">
        <f>J35+J39+J42+J45+J48+J51</f>
        <v>90.338299635497222</v>
      </c>
      <c r="K63" s="43"/>
      <c r="L63" s="26">
        <f>L35+L39+L42+L45+L48+L51</f>
        <v>61.760082040897984</v>
      </c>
      <c r="M63" s="43"/>
      <c r="N63" s="26">
        <f>N35+N39+N42+N45+N48+N51</f>
        <v>59.596078954060189</v>
      </c>
      <c r="O63" s="43"/>
      <c r="P63" s="26">
        <f>P35+P39+P42+P45+P48+P51</f>
        <v>76.042240244853659</v>
      </c>
      <c r="Q63" s="43"/>
      <c r="R63" s="26">
        <f>R35+R39+R42+R45+R48+R51</f>
        <v>55.80924671952981</v>
      </c>
      <c r="S63" s="43"/>
      <c r="T63" s="26">
        <f>T35+T39+T42+T45+T48+T51</f>
        <v>63.169190981960853</v>
      </c>
      <c r="V63" s="40"/>
      <c r="W63" s="6" t="s">
        <v>35</v>
      </c>
    </row>
    <row r="64" spans="2:33">
      <c r="B64" s="134" t="s">
        <v>39</v>
      </c>
      <c r="C64" s="2"/>
      <c r="D64" s="136">
        <f>V59</f>
        <v>84.664998254489717</v>
      </c>
      <c r="E64" s="38"/>
      <c r="F64" s="38"/>
      <c r="G64" s="44"/>
      <c r="H64" s="38"/>
      <c r="I64" s="26"/>
      <c r="J64" s="38"/>
      <c r="K64" s="26"/>
      <c r="L64" s="38"/>
      <c r="M64" s="26"/>
      <c r="N64" s="38"/>
      <c r="O64" s="26"/>
      <c r="P64" s="38"/>
      <c r="Q64" s="26"/>
      <c r="R64" s="38"/>
      <c r="S64" s="26"/>
      <c r="T64" s="38"/>
      <c r="V64" s="40"/>
      <c r="X64" s="30"/>
    </row>
    <row r="65" spans="1:25">
      <c r="B65" s="134" t="s">
        <v>10</v>
      </c>
      <c r="C65" s="2"/>
      <c r="D65" s="136">
        <f>V55</f>
        <v>83.45677897847375</v>
      </c>
      <c r="E65" s="45"/>
      <c r="F65" s="45"/>
      <c r="G65" s="46"/>
      <c r="H65" s="45"/>
      <c r="I65" s="46"/>
      <c r="J65" s="45"/>
      <c r="K65" s="46"/>
      <c r="L65" s="45"/>
      <c r="M65" s="46"/>
      <c r="N65" s="45"/>
      <c r="O65" s="46"/>
      <c r="P65" s="45"/>
      <c r="Q65" s="46"/>
      <c r="R65" s="45"/>
      <c r="S65" s="46"/>
      <c r="T65" s="45"/>
      <c r="V65" s="40"/>
    </row>
    <row r="66" spans="1:25" ht="6" customHeight="1">
      <c r="B66" s="134"/>
      <c r="C66" s="2"/>
      <c r="D66" s="135"/>
      <c r="E66" s="45"/>
      <c r="F66" s="45"/>
      <c r="G66" s="46"/>
      <c r="H66" s="45"/>
      <c r="I66" s="46"/>
      <c r="J66" s="45"/>
      <c r="K66" s="46"/>
      <c r="L66" s="45"/>
      <c r="M66" s="46"/>
      <c r="N66" s="45"/>
      <c r="O66" s="46"/>
      <c r="P66" s="45"/>
      <c r="Q66" s="46"/>
      <c r="R66" s="45"/>
      <c r="S66" s="46"/>
      <c r="T66" s="45"/>
      <c r="U66" s="34"/>
      <c r="V66" s="34"/>
    </row>
    <row r="67" spans="1:25">
      <c r="B67" s="188" t="s">
        <v>45</v>
      </c>
      <c r="C67" s="189"/>
      <c r="D67" s="190">
        <v>90</v>
      </c>
      <c r="E67" s="38"/>
      <c r="F67" s="38"/>
      <c r="G67" s="38"/>
      <c r="H67" s="38"/>
      <c r="I67" s="38"/>
      <c r="J67" s="38"/>
      <c r="K67" s="38"/>
      <c r="L67" s="38"/>
      <c r="M67" s="38"/>
      <c r="N67" s="38"/>
      <c r="O67" s="38"/>
      <c r="P67" s="38"/>
      <c r="Q67" s="38"/>
      <c r="R67" s="38"/>
      <c r="S67" s="38"/>
      <c r="T67" s="38"/>
      <c r="X67" s="34"/>
      <c r="Y67" s="34"/>
    </row>
    <row r="68" spans="1:25">
      <c r="B68" s="137" t="s">
        <v>46</v>
      </c>
      <c r="C68" s="2"/>
      <c r="D68" s="138">
        <f>D47</f>
        <v>137562</v>
      </c>
      <c r="E68" s="38"/>
      <c r="F68" s="38"/>
      <c r="G68" s="38"/>
      <c r="H68" s="38"/>
      <c r="I68" s="38"/>
      <c r="J68" s="38"/>
      <c r="K68" s="38"/>
      <c r="L68" s="38"/>
      <c r="M68" s="38"/>
      <c r="N68" s="38"/>
      <c r="O68" s="38"/>
      <c r="P68" s="38"/>
      <c r="Q68" s="38"/>
      <c r="R68" s="38"/>
      <c r="S68" s="38"/>
      <c r="T68" s="38"/>
      <c r="X68" s="34"/>
      <c r="Y68" s="34"/>
    </row>
    <row r="69" spans="1:25" s="34" customFormat="1" ht="18.45" thickBot="1">
      <c r="B69" s="139" t="s">
        <v>50</v>
      </c>
      <c r="C69" s="3"/>
      <c r="D69" s="140">
        <f>+D67*D68</f>
        <v>12380580</v>
      </c>
      <c r="E69" s="49"/>
      <c r="F69" s="49"/>
      <c r="G69" s="49"/>
      <c r="H69" s="49"/>
      <c r="I69" s="49"/>
      <c r="J69" s="49"/>
      <c r="K69" s="49"/>
      <c r="L69" s="49"/>
      <c r="M69" s="49"/>
      <c r="N69" s="49"/>
      <c r="O69" s="49"/>
      <c r="P69" s="49"/>
      <c r="Q69" s="49"/>
      <c r="R69" s="49"/>
      <c r="S69" s="49"/>
      <c r="T69" s="49"/>
      <c r="U69" s="6"/>
      <c r="V69" s="6"/>
    </row>
    <row r="70" spans="1:25" s="34" customFormat="1" ht="6" customHeight="1">
      <c r="B70" s="139"/>
      <c r="C70" s="4"/>
      <c r="D70" s="140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47"/>
      <c r="V70" s="6"/>
      <c r="X70" s="6"/>
      <c r="Y70" s="6"/>
    </row>
    <row r="71" spans="1:25">
      <c r="A71" s="48"/>
      <c r="B71" s="141" t="s">
        <v>101</v>
      </c>
      <c r="C71" s="5"/>
      <c r="D71" s="142"/>
      <c r="E71" s="52"/>
      <c r="G71" s="52"/>
      <c r="I71" s="52"/>
      <c r="K71" s="52"/>
      <c r="M71" s="52"/>
      <c r="O71" s="52"/>
      <c r="Q71" s="52"/>
      <c r="S71" s="52"/>
    </row>
    <row r="72" spans="1:25">
      <c r="A72" s="48"/>
      <c r="B72" s="141" t="s">
        <v>106</v>
      </c>
      <c r="C72" s="2"/>
      <c r="D72" s="198">
        <f>ROUND(D69,-4)</f>
        <v>12380000</v>
      </c>
      <c r="F72" s="6">
        <v>0.8</v>
      </c>
      <c r="G72" s="28">
        <f>F72*J55</f>
        <v>72.270639708397781</v>
      </c>
    </row>
    <row r="73" spans="1:25">
      <c r="A73" s="48"/>
      <c r="B73" s="200" t="s">
        <v>21</v>
      </c>
      <c r="C73" s="201"/>
      <c r="D73" s="199"/>
      <c r="F73" s="6">
        <v>0.2</v>
      </c>
      <c r="G73" s="28">
        <f>F73*N55</f>
        <v>14.719215790812038</v>
      </c>
    </row>
    <row r="74" spans="1:25">
      <c r="B74" s="50"/>
      <c r="C74" s="50"/>
      <c r="D74" s="51"/>
      <c r="G74" s="28">
        <f>SUM(G72:G73)</f>
        <v>86.989855499209824</v>
      </c>
    </row>
    <row r="76" spans="1:25">
      <c r="E76" s="2"/>
      <c r="F76" s="2"/>
      <c r="G76" s="2"/>
      <c r="H76" s="2"/>
      <c r="I76" s="2"/>
      <c r="J76" s="2"/>
      <c r="K76" s="2"/>
      <c r="L76" s="2"/>
      <c r="M76" s="2"/>
      <c r="N76" s="2"/>
      <c r="O76" s="2"/>
      <c r="P76" s="2"/>
      <c r="Q76" s="2"/>
      <c r="R76" s="2"/>
      <c r="S76" s="2"/>
      <c r="T76" s="2"/>
    </row>
    <row r="77" spans="1:25">
      <c r="E77" s="2"/>
      <c r="F77" s="2"/>
      <c r="G77" s="2"/>
      <c r="H77" s="2"/>
      <c r="I77" s="2"/>
      <c r="J77" s="2"/>
      <c r="K77" s="2"/>
      <c r="L77" s="2"/>
      <c r="M77" s="2"/>
      <c r="N77" s="2"/>
      <c r="O77" s="2"/>
      <c r="P77" s="2"/>
      <c r="Q77" s="2"/>
      <c r="R77" s="2"/>
      <c r="S77" s="2"/>
      <c r="T77" s="2"/>
    </row>
    <row r="78" spans="1:25">
      <c r="E78" s="191"/>
      <c r="F78" s="191"/>
      <c r="G78" s="191"/>
      <c r="H78" s="191"/>
      <c r="I78" s="191"/>
      <c r="J78" s="191"/>
      <c r="K78" s="191"/>
      <c r="L78" s="191"/>
      <c r="M78" s="191"/>
      <c r="N78" s="191"/>
      <c r="O78" s="191"/>
      <c r="P78" s="191"/>
      <c r="Q78" s="191"/>
      <c r="R78" s="191"/>
      <c r="S78" s="191"/>
      <c r="T78" s="191"/>
    </row>
    <row r="79" spans="1:25">
      <c r="E79" s="36"/>
      <c r="F79" s="56"/>
      <c r="G79" s="36"/>
      <c r="H79" s="56"/>
      <c r="I79" s="36"/>
      <c r="J79" s="56"/>
      <c r="K79" s="36"/>
      <c r="L79" s="56"/>
      <c r="M79" s="36"/>
      <c r="N79" s="56"/>
      <c r="O79" s="36"/>
      <c r="P79" s="56"/>
      <c r="Q79" s="36"/>
      <c r="R79" s="56"/>
      <c r="S79" s="36"/>
      <c r="T79" s="56"/>
    </row>
    <row r="80" spans="1:25">
      <c r="B80" s="2"/>
      <c r="C80" s="2"/>
      <c r="D80" s="2"/>
      <c r="E80" s="59"/>
      <c r="F80" s="60"/>
      <c r="G80" s="59"/>
      <c r="H80" s="60"/>
      <c r="I80" s="59"/>
      <c r="J80" s="60"/>
      <c r="K80" s="59"/>
      <c r="L80" s="60"/>
      <c r="M80" s="59"/>
      <c r="N80" s="60"/>
      <c r="O80" s="59"/>
      <c r="P80" s="60"/>
      <c r="Q80" s="59"/>
      <c r="R80" s="60"/>
      <c r="S80" s="59"/>
      <c r="T80" s="60"/>
      <c r="U80" s="2"/>
    </row>
    <row r="81" spans="2:21">
      <c r="B81" s="2"/>
      <c r="C81" s="2"/>
      <c r="D81" s="2"/>
      <c r="E81" s="2"/>
      <c r="F81" s="2"/>
      <c r="G81" s="2"/>
      <c r="H81" s="2"/>
      <c r="I81" s="2"/>
      <c r="J81" s="2"/>
      <c r="K81" s="2"/>
      <c r="L81" s="2"/>
      <c r="M81" s="2"/>
      <c r="N81" s="2"/>
      <c r="O81" s="2"/>
      <c r="P81" s="2"/>
      <c r="Q81" s="2"/>
      <c r="R81" s="2"/>
      <c r="S81" s="2"/>
      <c r="T81" s="2"/>
      <c r="U81" s="2"/>
    </row>
    <row r="82" spans="2:21" ht="49.2" customHeight="1">
      <c r="B82" s="53"/>
      <c r="C82" s="54"/>
      <c r="D82" s="35"/>
      <c r="E82" s="2"/>
      <c r="F82" s="2"/>
      <c r="G82" s="2"/>
      <c r="H82" s="2"/>
      <c r="I82" s="2"/>
      <c r="J82" s="2"/>
      <c r="K82" s="2"/>
      <c r="L82" s="2"/>
      <c r="M82" s="2"/>
      <c r="N82" s="2"/>
      <c r="O82" s="2"/>
      <c r="P82" s="2"/>
      <c r="Q82" s="2"/>
      <c r="R82" s="2"/>
      <c r="S82" s="2"/>
      <c r="T82" s="2"/>
      <c r="U82" s="2"/>
    </row>
    <row r="83" spans="2:21" ht="18" customHeight="1">
      <c r="B83" s="55"/>
      <c r="C83" s="55"/>
      <c r="D83" s="35"/>
      <c r="E83" s="2"/>
      <c r="F83" s="2"/>
      <c r="G83" s="2"/>
      <c r="H83" s="2"/>
      <c r="I83" s="2"/>
      <c r="J83" s="2"/>
      <c r="K83" s="2"/>
      <c r="L83" s="2"/>
      <c r="M83" s="2"/>
      <c r="N83" s="2"/>
      <c r="O83" s="2"/>
      <c r="P83" s="2"/>
      <c r="Q83" s="2"/>
      <c r="R83" s="2"/>
      <c r="S83" s="2"/>
      <c r="T83" s="2"/>
      <c r="U83" s="2"/>
    </row>
    <row r="84" spans="2:21" ht="18" customHeight="1">
      <c r="B84" s="57"/>
      <c r="C84" s="36"/>
      <c r="D84" s="58"/>
      <c r="E84" s="2"/>
      <c r="F84" s="2"/>
      <c r="G84" s="2"/>
      <c r="H84" s="2"/>
      <c r="I84" s="2"/>
      <c r="J84" s="2"/>
      <c r="K84" s="2"/>
      <c r="L84" s="2"/>
      <c r="M84" s="2"/>
      <c r="N84" s="2"/>
      <c r="O84" s="2"/>
      <c r="P84" s="2"/>
      <c r="Q84" s="2"/>
      <c r="R84" s="2"/>
      <c r="S84" s="2"/>
      <c r="T84" s="2"/>
      <c r="U84" s="2"/>
    </row>
    <row r="85" spans="2:21" ht="18" customHeight="1">
      <c r="B85" s="2"/>
      <c r="C85" s="2"/>
      <c r="D85" s="2"/>
      <c r="E85" s="2"/>
      <c r="F85" s="2"/>
      <c r="G85" s="2"/>
      <c r="H85" s="2"/>
      <c r="I85" s="2"/>
      <c r="J85" s="2"/>
      <c r="K85" s="2"/>
      <c r="L85" s="2"/>
      <c r="M85" s="2"/>
      <c r="N85" s="2"/>
      <c r="O85" s="2"/>
      <c r="P85" s="2"/>
      <c r="Q85" s="2"/>
      <c r="R85" s="2"/>
      <c r="S85" s="2"/>
      <c r="T85" s="2"/>
      <c r="U85" s="2"/>
    </row>
    <row r="86" spans="2:21" ht="18" customHeight="1">
      <c r="B86" s="2"/>
      <c r="C86" s="2"/>
      <c r="D86" s="2"/>
      <c r="U86" s="2"/>
    </row>
    <row r="87" spans="2:21" ht="18" customHeight="1">
      <c r="B87" s="2"/>
      <c r="C87" s="2"/>
      <c r="D87" s="2"/>
      <c r="U87" s="2"/>
    </row>
    <row r="88" spans="2:21" ht="18" customHeight="1">
      <c r="B88" s="2"/>
      <c r="C88" s="2"/>
      <c r="D88" s="2"/>
      <c r="U88" s="2"/>
    </row>
    <row r="89" spans="2:21" ht="18" customHeight="1">
      <c r="B89" s="2"/>
      <c r="C89" s="2"/>
      <c r="D89" s="2"/>
      <c r="U89" s="2"/>
    </row>
  </sheetData>
  <mergeCells count="94">
    <mergeCell ref="B18:D18"/>
    <mergeCell ref="S21:T21"/>
    <mergeCell ref="M21:N21"/>
    <mergeCell ref="Q78:R78"/>
    <mergeCell ref="S49:T49"/>
    <mergeCell ref="S78:T78"/>
    <mergeCell ref="Q43:R43"/>
    <mergeCell ref="Q46:R46"/>
    <mergeCell ref="M37:N37"/>
    <mergeCell ref="M24:N24"/>
    <mergeCell ref="Q49:R49"/>
    <mergeCell ref="S18:T18"/>
    <mergeCell ref="S24:T24"/>
    <mergeCell ref="S27:T27"/>
    <mergeCell ref="S30:T30"/>
    <mergeCell ref="S37:T37"/>
    <mergeCell ref="S43:T43"/>
    <mergeCell ref="S46:T46"/>
    <mergeCell ref="Q18:R18"/>
    <mergeCell ref="Q24:R24"/>
    <mergeCell ref="Q27:R27"/>
    <mergeCell ref="Q30:R30"/>
    <mergeCell ref="Q37:R37"/>
    <mergeCell ref="Q21:R21"/>
    <mergeCell ref="E78:F78"/>
    <mergeCell ref="G78:H78"/>
    <mergeCell ref="O78:P78"/>
    <mergeCell ref="E37:F37"/>
    <mergeCell ref="G37:H37"/>
    <mergeCell ref="G43:H43"/>
    <mergeCell ref="G46:H46"/>
    <mergeCell ref="O37:P37"/>
    <mergeCell ref="E46:F46"/>
    <mergeCell ref="E43:F43"/>
    <mergeCell ref="K78:L78"/>
    <mergeCell ref="K46:L46"/>
    <mergeCell ref="M78:N78"/>
    <mergeCell ref="M49:N49"/>
    <mergeCell ref="M46:N46"/>
    <mergeCell ref="I78:J78"/>
    <mergeCell ref="D72:D73"/>
    <mergeCell ref="G49:H49"/>
    <mergeCell ref="O43:P43"/>
    <mergeCell ref="O46:P46"/>
    <mergeCell ref="B59:D60"/>
    <mergeCell ref="E49:F49"/>
    <mergeCell ref="O49:P49"/>
    <mergeCell ref="M43:N43"/>
    <mergeCell ref="K49:L49"/>
    <mergeCell ref="I49:J49"/>
    <mergeCell ref="I43:J43"/>
    <mergeCell ref="I46:J46"/>
    <mergeCell ref="K43:L43"/>
    <mergeCell ref="B73:C73"/>
    <mergeCell ref="E24:F24"/>
    <mergeCell ref="E30:F30"/>
    <mergeCell ref="G27:H27"/>
    <mergeCell ref="E27:F27"/>
    <mergeCell ref="B14:T15"/>
    <mergeCell ref="G30:H30"/>
    <mergeCell ref="O27:P27"/>
    <mergeCell ref="O24:P24"/>
    <mergeCell ref="K18:L18"/>
    <mergeCell ref="M30:N30"/>
    <mergeCell ref="M27:N27"/>
    <mergeCell ref="O30:P30"/>
    <mergeCell ref="K27:L27"/>
    <mergeCell ref="K30:L30"/>
    <mergeCell ref="O21:P21"/>
    <mergeCell ref="O18:P18"/>
    <mergeCell ref="I18:J18"/>
    <mergeCell ref="I24:J24"/>
    <mergeCell ref="I27:J27"/>
    <mergeCell ref="I30:J30"/>
    <mergeCell ref="I37:J37"/>
    <mergeCell ref="B36:T36"/>
    <mergeCell ref="M18:N18"/>
    <mergeCell ref="E18:F18"/>
    <mergeCell ref="G18:H18"/>
    <mergeCell ref="E21:F21"/>
    <mergeCell ref="K21:L21"/>
    <mergeCell ref="K24:L24"/>
    <mergeCell ref="G24:H24"/>
    <mergeCell ref="G21:H21"/>
    <mergeCell ref="I21:J21"/>
    <mergeCell ref="K37:L37"/>
    <mergeCell ref="M22:N22"/>
    <mergeCell ref="O22:P22"/>
    <mergeCell ref="Q22:R22"/>
    <mergeCell ref="S22:T22"/>
    <mergeCell ref="E22:F22"/>
    <mergeCell ref="G22:H22"/>
    <mergeCell ref="I22:J22"/>
    <mergeCell ref="K22:L22"/>
  </mergeCells>
  <phoneticPr fontId="2"/>
  <conditionalFormatting sqref="F56:T56">
    <cfRule type="colorScale" priority="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F57:T57">
    <cfRule type="colorScale" priority="2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5" right="0.75" top="1" bottom="1" header="0.5" footer="0.5"/>
  <pageSetup orientation="landscape" horizontalDpi="4294967292" verticalDpi="4294967292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5"/>
  <sheetViews>
    <sheetView workbookViewId="0">
      <selection activeCell="A6" sqref="A6"/>
    </sheetView>
  </sheetViews>
  <sheetFormatPr defaultColWidth="10.90625" defaultRowHeight="12.9"/>
  <sheetData>
    <row r="1" spans="1:3">
      <c r="A1" t="s">
        <v>30</v>
      </c>
      <c r="B1" t="s">
        <v>31</v>
      </c>
      <c r="C1" t="s">
        <v>32</v>
      </c>
    </row>
    <row r="2" spans="1:3">
      <c r="A2">
        <v>1</v>
      </c>
      <c r="B2">
        <v>44.108899999999998</v>
      </c>
      <c r="C2">
        <v>-93.268900000000002</v>
      </c>
    </row>
    <row r="3" spans="1:3">
      <c r="A3">
        <v>2</v>
      </c>
      <c r="B3">
        <v>44.061521999999997</v>
      </c>
      <c r="C3">
        <v>-93.259249999999994</v>
      </c>
    </row>
    <row r="4" spans="1:3">
      <c r="A4">
        <v>3</v>
      </c>
      <c r="B4">
        <v>44.068012000000003</v>
      </c>
      <c r="C4">
        <v>-93.259946999999997</v>
      </c>
    </row>
    <row r="5" spans="1:3">
      <c r="A5">
        <v>4</v>
      </c>
      <c r="B5">
        <v>44.064495999999998</v>
      </c>
      <c r="C5">
        <v>-93.254586000000003</v>
      </c>
    </row>
  </sheetData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4</vt:i4>
      </vt:variant>
    </vt:vector>
  </HeadingPairs>
  <TitlesOfParts>
    <vt:vector size="9" baseType="lpstr">
      <vt:lpstr>2019</vt:lpstr>
      <vt:lpstr>2018</vt:lpstr>
      <vt:lpstr>2017</vt:lpstr>
      <vt:lpstr>2016</vt:lpstr>
      <vt:lpstr>GIS</vt:lpstr>
      <vt:lpstr>'2016'!Print_Area</vt:lpstr>
      <vt:lpstr>'2017'!Print_Area</vt:lpstr>
      <vt:lpstr>'2018'!Print_Area</vt:lpstr>
      <vt:lpstr>'2019'!Print_Area</vt:lpstr>
    </vt:vector>
  </TitlesOfParts>
  <Company>The Valuation Group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Chuck Carlson</dc:creator>
  <cp:lastModifiedBy>Brett W Hall</cp:lastModifiedBy>
  <cp:lastPrinted>2017-12-01T17:17:09Z</cp:lastPrinted>
  <dcterms:created xsi:type="dcterms:W3CDTF">2004-07-01T20:58:25Z</dcterms:created>
  <dcterms:modified xsi:type="dcterms:W3CDTF">2022-09-20T21:02:18Z</dcterms:modified>
</cp:coreProperties>
</file>