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4355" windowHeight="8220"/>
  </bookViews>
  <sheets>
    <sheet name="Cost" sheetId="1" r:id="rId1"/>
    <sheet name="Bldg Cost" sheetId="2" r:id="rId2"/>
    <sheet name="Model Cost" sheetId="4" r:id="rId3"/>
    <sheet name="Int Cost" sheetId="3" r:id="rId4"/>
    <sheet name="Cost to Sales Ratio" sheetId="5" r:id="rId5"/>
    <sheet name="MH Cost to Sales Ratio" sheetId="6" r:id="rId6"/>
    <sheet name="MS House to Sales Ratio" sheetId="7" r:id="rId7"/>
    <sheet name="MS House #2 to Sales Ratio" sheetId="8" r:id="rId8"/>
  </sheets>
  <calcPr calcId="145621"/>
</workbook>
</file>

<file path=xl/calcChain.xml><?xml version="1.0" encoding="utf-8"?>
<calcChain xmlns="http://schemas.openxmlformats.org/spreadsheetml/2006/main">
  <c r="E95" i="4" l="1"/>
  <c r="E94" i="4"/>
  <c r="E93" i="4"/>
  <c r="E92" i="4"/>
  <c r="E91" i="4"/>
  <c r="G95" i="4" l="1"/>
  <c r="G94" i="4"/>
  <c r="G93" i="4"/>
  <c r="G92" i="4"/>
  <c r="G91" i="4"/>
  <c r="G78" i="4"/>
  <c r="G76" i="4"/>
  <c r="G75" i="4"/>
  <c r="E75" i="4"/>
  <c r="E78" i="4"/>
  <c r="E76" i="4"/>
  <c r="E79" i="4"/>
  <c r="E77" i="4"/>
  <c r="G79" i="4"/>
  <c r="G77" i="4"/>
  <c r="H91" i="4" l="1"/>
  <c r="J91" i="4" s="1"/>
  <c r="H92" i="4"/>
  <c r="J92" i="4" s="1"/>
  <c r="H93" i="4"/>
  <c r="J93" i="4" s="1"/>
  <c r="H94" i="4"/>
  <c r="J94" i="4" s="1"/>
  <c r="H95" i="4"/>
  <c r="J95" i="4" s="1"/>
  <c r="H75" i="4"/>
  <c r="J75" i="4" s="1"/>
  <c r="H77" i="4"/>
  <c r="J77" i="4" s="1"/>
  <c r="H79" i="4"/>
  <c r="J79" i="4" s="1"/>
  <c r="H78" i="4"/>
  <c r="J78" i="4" s="1"/>
  <c r="H76" i="4"/>
  <c r="J76" i="4" s="1"/>
  <c r="L33" i="8"/>
  <c r="J17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5" i="8"/>
  <c r="J13" i="8"/>
  <c r="J12" i="8"/>
  <c r="J11" i="8"/>
  <c r="J31" i="8"/>
  <c r="J16" i="8"/>
  <c r="J14" i="8"/>
  <c r="J10" i="8"/>
  <c r="J9" i="8"/>
  <c r="J8" i="8"/>
  <c r="J11" i="6"/>
  <c r="J18" i="7"/>
  <c r="J1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7" i="7"/>
  <c r="J16" i="7"/>
  <c r="J15" i="7"/>
  <c r="J14" i="7"/>
  <c r="J13" i="7"/>
  <c r="J11" i="7"/>
  <c r="J10" i="7"/>
  <c r="J9" i="7"/>
  <c r="J8" i="7"/>
  <c r="J7" i="7"/>
  <c r="J7" i="8"/>
  <c r="J96" i="4" l="1"/>
  <c r="J97" i="4"/>
  <c r="J81" i="4"/>
  <c r="J80" i="4"/>
  <c r="J30" i="6"/>
  <c r="J29" i="6"/>
  <c r="J28" i="6"/>
  <c r="J27" i="6"/>
  <c r="J26" i="6"/>
  <c r="J25" i="6"/>
  <c r="J24" i="6"/>
  <c r="J23" i="6"/>
  <c r="J22" i="6"/>
  <c r="J20" i="6"/>
  <c r="J19" i="6"/>
  <c r="J18" i="6"/>
  <c r="J17" i="6"/>
  <c r="J16" i="6"/>
  <c r="J15" i="6"/>
  <c r="J14" i="6"/>
  <c r="J13" i="6"/>
  <c r="J12" i="6"/>
  <c r="J10" i="6"/>
  <c r="J9" i="6"/>
  <c r="J8" i="6"/>
  <c r="J7" i="6"/>
  <c r="J12" i="5"/>
  <c r="J11" i="5"/>
  <c r="J10" i="5"/>
  <c r="J8" i="5"/>
  <c r="J31" i="5"/>
  <c r="J21" i="6"/>
  <c r="J6" i="6"/>
  <c r="E47" i="4" l="1"/>
  <c r="E46" i="4"/>
  <c r="E45" i="4"/>
  <c r="E44" i="4"/>
  <c r="E43" i="4"/>
  <c r="E32" i="4"/>
  <c r="E31" i="4"/>
  <c r="E30" i="4"/>
  <c r="E29" i="4"/>
  <c r="E28" i="4"/>
  <c r="E27" i="4"/>
  <c r="J30" i="5" l="1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3" i="5"/>
  <c r="J14" i="5"/>
  <c r="J9" i="5"/>
  <c r="J7" i="5"/>
  <c r="G51" i="4" l="1"/>
  <c r="E51" i="4"/>
  <c r="H51" i="4" l="1"/>
  <c r="J51" i="4" s="1"/>
  <c r="K31" i="8" l="1"/>
  <c r="L31" i="8" s="1"/>
  <c r="K25" i="8"/>
  <c r="L25" i="8" s="1"/>
  <c r="K9" i="8"/>
  <c r="L9" i="8" s="1"/>
  <c r="K7" i="8"/>
  <c r="L7" i="8" s="1"/>
  <c r="G31" i="8"/>
  <c r="G30" i="8"/>
  <c r="K30" i="8" s="1"/>
  <c r="L30" i="8" s="1"/>
  <c r="K29" i="8"/>
  <c r="L29" i="8" s="1"/>
  <c r="G29" i="8"/>
  <c r="G28" i="8"/>
  <c r="K28" i="8" s="1"/>
  <c r="L28" i="8" s="1"/>
  <c r="K27" i="8"/>
  <c r="L27" i="8" s="1"/>
  <c r="G27" i="8"/>
  <c r="G26" i="8"/>
  <c r="G25" i="8"/>
  <c r="G24" i="8"/>
  <c r="K24" i="8" s="1"/>
  <c r="L24" i="8" s="1"/>
  <c r="K23" i="8"/>
  <c r="L23" i="8" s="1"/>
  <c r="G23" i="8"/>
  <c r="G22" i="8"/>
  <c r="K21" i="8"/>
  <c r="L21" i="8" s="1"/>
  <c r="G21" i="8"/>
  <c r="G20" i="8"/>
  <c r="K20" i="8" s="1"/>
  <c r="L20" i="8" s="1"/>
  <c r="K19" i="8"/>
  <c r="L19" i="8" s="1"/>
  <c r="G19" i="8"/>
  <c r="G18" i="8"/>
  <c r="K17" i="8"/>
  <c r="L17" i="8" s="1"/>
  <c r="G17" i="8"/>
  <c r="G16" i="8"/>
  <c r="K16" i="8" s="1"/>
  <c r="L16" i="8" s="1"/>
  <c r="K15" i="8"/>
  <c r="L15" i="8" s="1"/>
  <c r="G15" i="8"/>
  <c r="G14" i="8"/>
  <c r="K14" i="8" s="1"/>
  <c r="L14" i="8" s="1"/>
  <c r="K13" i="8"/>
  <c r="L13" i="8" s="1"/>
  <c r="G13" i="8"/>
  <c r="G12" i="8"/>
  <c r="K11" i="8"/>
  <c r="L11" i="8" s="1"/>
  <c r="G11" i="8"/>
  <c r="G10" i="8"/>
  <c r="K10" i="8" s="1"/>
  <c r="L10" i="8" s="1"/>
  <c r="G9" i="8"/>
  <c r="G8" i="8"/>
  <c r="K8" i="8" s="1"/>
  <c r="L8" i="8" s="1"/>
  <c r="G7" i="8"/>
  <c r="K12" i="7"/>
  <c r="K25" i="7"/>
  <c r="K19" i="7"/>
  <c r="K8" i="7"/>
  <c r="K7" i="7"/>
  <c r="G31" i="7"/>
  <c r="G30" i="7"/>
  <c r="K29" i="7"/>
  <c r="G29" i="7"/>
  <c r="G28" i="7"/>
  <c r="K27" i="7"/>
  <c r="G27" i="7"/>
  <c r="G26" i="7"/>
  <c r="G25" i="7"/>
  <c r="G24" i="7"/>
  <c r="K23" i="7"/>
  <c r="G23" i="7"/>
  <c r="G22" i="7"/>
  <c r="K21" i="7"/>
  <c r="G21" i="7"/>
  <c r="G20" i="7"/>
  <c r="G19" i="7"/>
  <c r="G18" i="7"/>
  <c r="K17" i="7"/>
  <c r="G17" i="7"/>
  <c r="G16" i="7"/>
  <c r="K15" i="7"/>
  <c r="G15" i="7"/>
  <c r="G14" i="7"/>
  <c r="K13" i="7"/>
  <c r="G13" i="7"/>
  <c r="G12" i="7"/>
  <c r="G11" i="7"/>
  <c r="K10" i="7"/>
  <c r="G10" i="7"/>
  <c r="G9" i="7"/>
  <c r="G8" i="7"/>
  <c r="G7" i="7"/>
  <c r="K22" i="8" l="1"/>
  <c r="L22" i="8" s="1"/>
  <c r="K18" i="8"/>
  <c r="K12" i="8"/>
  <c r="L12" i="8" s="1"/>
  <c r="K26" i="8"/>
  <c r="L26" i="8" s="1"/>
  <c r="K9" i="7"/>
  <c r="K11" i="7"/>
  <c r="K14" i="7"/>
  <c r="K16" i="7"/>
  <c r="K18" i="7"/>
  <c r="K20" i="7"/>
  <c r="K22" i="7"/>
  <c r="K24" i="7"/>
  <c r="K26" i="7"/>
  <c r="K28" i="7"/>
  <c r="K30" i="7"/>
  <c r="K31" i="7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47" i="4"/>
  <c r="H47" i="4" s="1"/>
  <c r="J47" i="4" s="1"/>
  <c r="G46" i="4"/>
  <c r="H46" i="4" s="1"/>
  <c r="J46" i="4" s="1"/>
  <c r="G45" i="4"/>
  <c r="H45" i="4" s="1"/>
  <c r="J45" i="4" s="1"/>
  <c r="G44" i="4"/>
  <c r="H44" i="4" s="1"/>
  <c r="J44" i="4" s="1"/>
  <c r="G43" i="4"/>
  <c r="H43" i="4" s="1"/>
  <c r="J43" i="4" s="1"/>
  <c r="K27" i="5"/>
  <c r="K24" i="5"/>
  <c r="K23" i="5"/>
  <c r="K22" i="5"/>
  <c r="K18" i="5"/>
  <c r="K12" i="5"/>
  <c r="K26" i="5"/>
  <c r="K20" i="5"/>
  <c r="K21" i="5"/>
  <c r="K31" i="5"/>
  <c r="K28" i="5"/>
  <c r="K25" i="5"/>
  <c r="K30" i="5"/>
  <c r="K19" i="5"/>
  <c r="K29" i="5"/>
  <c r="K17" i="5"/>
  <c r="K16" i="5"/>
  <c r="K15" i="5"/>
  <c r="K14" i="5"/>
  <c r="K13" i="5"/>
  <c r="K11" i="5"/>
  <c r="K10" i="5"/>
  <c r="K9" i="5"/>
  <c r="K8" i="5"/>
  <c r="K7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K33" i="7" l="1"/>
  <c r="K32" i="8"/>
  <c r="L18" i="8"/>
  <c r="L32" i="8" s="1"/>
  <c r="K32" i="7"/>
  <c r="K33" i="8"/>
  <c r="K33" i="5"/>
  <c r="K32" i="5"/>
  <c r="K8" i="6"/>
  <c r="K10" i="6"/>
  <c r="K14" i="6"/>
  <c r="K6" i="6"/>
  <c r="K7" i="6"/>
  <c r="K9" i="6"/>
  <c r="K11" i="6"/>
  <c r="K12" i="6"/>
  <c r="K13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J49" i="4"/>
  <c r="J48" i="4"/>
  <c r="G30" i="4"/>
  <c r="G28" i="4"/>
  <c r="G27" i="4"/>
  <c r="G32" i="4"/>
  <c r="G31" i="4"/>
  <c r="G29" i="4"/>
  <c r="K31" i="6" l="1"/>
  <c r="K32" i="6"/>
  <c r="H32" i="4"/>
  <c r="J32" i="4" s="1"/>
  <c r="H30" i="4"/>
  <c r="J30" i="4" s="1"/>
  <c r="H28" i="4"/>
  <c r="J28" i="4" s="1"/>
  <c r="H29" i="4"/>
  <c r="J29" i="4" s="1"/>
  <c r="H31" i="4"/>
  <c r="J31" i="4" s="1"/>
  <c r="H27" i="4"/>
  <c r="J27" i="4" s="1"/>
  <c r="F21" i="3"/>
  <c r="F20" i="3"/>
  <c r="F19" i="3"/>
  <c r="F18" i="3"/>
  <c r="F23" i="3" s="1"/>
  <c r="F8" i="3"/>
  <c r="F7" i="3"/>
  <c r="F6" i="3"/>
  <c r="F5" i="3"/>
  <c r="F10" i="3" s="1"/>
  <c r="J34" i="4" l="1"/>
  <c r="J33" i="4"/>
  <c r="F22" i="3"/>
  <c r="F9" i="3"/>
  <c r="E18" i="2"/>
  <c r="E16" i="2"/>
  <c r="E17" i="2"/>
  <c r="E15" i="2"/>
  <c r="E14" i="2"/>
  <c r="E20" i="2" l="1"/>
  <c r="E19" i="2"/>
  <c r="E5" i="2"/>
  <c r="E8" i="2"/>
  <c r="E6" i="2"/>
  <c r="E9" i="2"/>
  <c r="E7" i="2"/>
  <c r="K14" i="1" l="1"/>
  <c r="J14" i="1"/>
  <c r="I14" i="1"/>
  <c r="F14" i="1"/>
  <c r="I12" i="1" l="1"/>
  <c r="I11" i="1"/>
  <c r="I5" i="1"/>
  <c r="J13" i="1" l="1"/>
  <c r="K13" i="1" s="1"/>
  <c r="J12" i="1"/>
  <c r="J11" i="1"/>
  <c r="F13" i="1"/>
  <c r="K12" i="1"/>
  <c r="F12" i="1"/>
  <c r="K11" i="1"/>
  <c r="F11" i="1"/>
  <c r="K10" i="1"/>
  <c r="K9" i="1"/>
  <c r="K8" i="1"/>
  <c r="K7" i="1"/>
  <c r="K6" i="1"/>
  <c r="J5" i="1"/>
  <c r="K5" i="1" s="1"/>
  <c r="F5" i="1"/>
</calcChain>
</file>

<file path=xl/sharedStrings.xml><?xml version="1.0" encoding="utf-8"?>
<sst xmlns="http://schemas.openxmlformats.org/spreadsheetml/2006/main" count="522" uniqueCount="87">
  <si>
    <t>State</t>
  </si>
  <si>
    <t>Cost</t>
  </si>
  <si>
    <t>Size</t>
  </si>
  <si>
    <t>Quality</t>
  </si>
  <si>
    <t>KS</t>
  </si>
  <si>
    <t>Sq. Ft.</t>
  </si>
  <si>
    <t>Bldg Cost</t>
  </si>
  <si>
    <t>Int. Cost</t>
  </si>
  <si>
    <t>Total</t>
  </si>
  <si>
    <t>Cost/SF</t>
  </si>
  <si>
    <t>Bldg</t>
  </si>
  <si>
    <t>Int.</t>
  </si>
  <si>
    <t>Yr-Built</t>
  </si>
  <si>
    <t>60 x 64</t>
  </si>
  <si>
    <t>Farm Bldg</t>
  </si>
  <si>
    <t>AV+</t>
  </si>
  <si>
    <t>Notes</t>
  </si>
  <si>
    <t xml:space="preserve">AV </t>
  </si>
  <si>
    <t>TX</t>
  </si>
  <si>
    <t>Finshed</t>
  </si>
  <si>
    <t>Int. Sq. Ft.</t>
  </si>
  <si>
    <t>AV</t>
  </si>
  <si>
    <t>24 x 30</t>
  </si>
  <si>
    <t>KSC1</t>
  </si>
  <si>
    <t>KSC2</t>
  </si>
  <si>
    <t>KSC3</t>
  </si>
  <si>
    <t>KSC4</t>
  </si>
  <si>
    <t>TXC1</t>
  </si>
  <si>
    <t>TXC2</t>
  </si>
  <si>
    <t>TXC3</t>
  </si>
  <si>
    <t>80 x 42</t>
  </si>
  <si>
    <t>40 x 100</t>
  </si>
  <si>
    <t>TXC4</t>
  </si>
  <si>
    <t>Bldg.</t>
  </si>
  <si>
    <t>GD</t>
  </si>
  <si>
    <t>Median</t>
  </si>
  <si>
    <t>Mean</t>
  </si>
  <si>
    <t>Overall</t>
  </si>
  <si>
    <t>Estimate</t>
  </si>
  <si>
    <t>for Bldg</t>
  </si>
  <si>
    <t>for Int.</t>
  </si>
  <si>
    <t>Adj Factors</t>
  </si>
  <si>
    <t>Building</t>
  </si>
  <si>
    <t>Fair</t>
  </si>
  <si>
    <t>Avg</t>
  </si>
  <si>
    <t>Good</t>
  </si>
  <si>
    <t>Good+</t>
  </si>
  <si>
    <t>Avg+</t>
  </si>
  <si>
    <t>Avg-</t>
  </si>
  <si>
    <t>Fair-</t>
  </si>
  <si>
    <t>Residence</t>
  </si>
  <si>
    <t>Qual. Adj.</t>
  </si>
  <si>
    <t xml:space="preserve">Actual </t>
  </si>
  <si>
    <t>Ratio</t>
  </si>
  <si>
    <t>Sale Date</t>
  </si>
  <si>
    <t>OK</t>
  </si>
  <si>
    <t>Yr. Blt.</t>
  </si>
  <si>
    <t>AV-</t>
  </si>
  <si>
    <t>Cost Value</t>
  </si>
  <si>
    <t>House Val</t>
  </si>
  <si>
    <t>Land Val</t>
  </si>
  <si>
    <t>Other Val</t>
  </si>
  <si>
    <t>Sale Price</t>
  </si>
  <si>
    <t>Economic Life</t>
  </si>
  <si>
    <t>Low</t>
  </si>
  <si>
    <t>Years</t>
  </si>
  <si>
    <t>RCN Rates</t>
  </si>
  <si>
    <t>House</t>
  </si>
  <si>
    <t>MH Low</t>
  </si>
  <si>
    <t>MH Avg.</t>
  </si>
  <si>
    <t>MH Fair</t>
  </si>
  <si>
    <t>MH Good</t>
  </si>
  <si>
    <t>Avg.</t>
  </si>
  <si>
    <t>Deviation</t>
  </si>
  <si>
    <t>AAD</t>
  </si>
  <si>
    <t>COD</t>
  </si>
  <si>
    <t>Morton Cost</t>
  </si>
  <si>
    <t>VG-</t>
  </si>
  <si>
    <t>GD-</t>
  </si>
  <si>
    <t>VG</t>
  </si>
  <si>
    <t>Good -</t>
  </si>
  <si>
    <t>Very Good -</t>
  </si>
  <si>
    <t>Very Good</t>
  </si>
  <si>
    <t>Excellent</t>
  </si>
  <si>
    <t>V Good</t>
  </si>
  <si>
    <t>Excellent -</t>
  </si>
  <si>
    <t>Excellent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</si>
</sst>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44" fontId="0" fillId="0" borderId="0" xfId="2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167" fontId="0" fillId="0" borderId="0" xfId="2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6" fontId="2" fillId="0" borderId="1" xfId="1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7" fontId="0" fillId="0" borderId="1" xfId="2" applyNumberFormat="1" applyFont="1" applyBorder="1" applyAlignment="1">
      <alignment horizontal="center"/>
    </xf>
    <xf numFmtId="44" fontId="0" fillId="0" borderId="1" xfId="2" applyFont="1" applyBorder="1" applyAlignment="1">
      <alignment horizontal="center"/>
    </xf>
    <xf numFmtId="0" fontId="0" fillId="0" borderId="1" xfId="0" applyBorder="1" applyAlignment="1">
      <alignment horizontal="right"/>
    </xf>
    <xf numFmtId="44" fontId="0" fillId="0" borderId="1" xfId="0" applyNumberFormat="1" applyBorder="1"/>
    <xf numFmtId="3" fontId="0" fillId="0" borderId="1" xfId="0" applyNumberFormat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167" fontId="0" fillId="2" borderId="0" xfId="2" applyNumberFormat="1" applyFont="1" applyFill="1" applyAlignment="1">
      <alignment horizontal="center"/>
    </xf>
    <xf numFmtId="166" fontId="0" fillId="2" borderId="0" xfId="1" applyNumberFormat="1" applyFont="1" applyFill="1" applyAlignment="1">
      <alignment horizontal="center"/>
    </xf>
    <xf numFmtId="44" fontId="0" fillId="2" borderId="0" xfId="2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167" fontId="3" fillId="0" borderId="1" xfId="2" applyNumberFormat="1" applyFont="1" applyBorder="1"/>
    <xf numFmtId="0" fontId="0" fillId="0" borderId="0" xfId="0" applyFill="1"/>
    <xf numFmtId="166" fontId="0" fillId="0" borderId="0" xfId="1" applyNumberFormat="1" applyFont="1"/>
    <xf numFmtId="167" fontId="0" fillId="0" borderId="0" xfId="2" applyNumberFormat="1" applyFont="1"/>
    <xf numFmtId="1" fontId="3" fillId="0" borderId="1" xfId="0" applyNumberFormat="1" applyFont="1" applyBorder="1" applyAlignment="1">
      <alignment horizontal="center"/>
    </xf>
    <xf numFmtId="2" fontId="0" fillId="0" borderId="0" xfId="0" applyNumberFormat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4" fontId="3" fillId="0" borderId="1" xfId="2" applyFont="1" applyBorder="1" applyAlignment="1">
      <alignment horizontal="right"/>
    </xf>
    <xf numFmtId="167" fontId="3" fillId="0" borderId="0" xfId="2" applyNumberFormat="1" applyFont="1" applyBorder="1"/>
    <xf numFmtId="2" fontId="3" fillId="0" borderId="0" xfId="0" applyNumberFormat="1" applyFont="1" applyBorder="1"/>
    <xf numFmtId="166" fontId="4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3" fillId="0" borderId="1" xfId="1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8" fontId="3" fillId="0" borderId="1" xfId="2" applyNumberFormat="1" applyFont="1" applyBorder="1" applyAlignment="1">
      <alignment horizontal="right"/>
    </xf>
    <xf numFmtId="8" fontId="3" fillId="0" borderId="2" xfId="2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8" fontId="3" fillId="0" borderId="0" xfId="2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/>
    <xf numFmtId="0" fontId="4" fillId="0" borderId="0" xfId="0" applyFont="1" applyBorder="1"/>
    <xf numFmtId="2" fontId="4" fillId="0" borderId="1" xfId="0" applyNumberFormat="1" applyFont="1" applyBorder="1"/>
    <xf numFmtId="1" fontId="3" fillId="0" borderId="0" xfId="0" applyNumberFormat="1" applyFont="1" applyBorder="1" applyAlignment="1">
      <alignment horizontal="center"/>
    </xf>
    <xf numFmtId="0" fontId="4" fillId="0" borderId="3" xfId="0" applyFont="1" applyBorder="1"/>
    <xf numFmtId="1" fontId="3" fillId="0" borderId="4" xfId="0" applyNumberFormat="1" applyFont="1" applyBorder="1" applyAlignment="1">
      <alignment horizontal="center"/>
    </xf>
    <xf numFmtId="0" fontId="4" fillId="0" borderId="5" xfId="0" applyFont="1" applyBorder="1"/>
    <xf numFmtId="0" fontId="0" fillId="0" borderId="0" xfId="0" applyBorder="1"/>
    <xf numFmtId="16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6" xfId="0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28575</xdr:rowOff>
    </xdr:from>
    <xdr:to>
      <xdr:col>2</xdr:col>
      <xdr:colOff>723900</xdr:colOff>
      <xdr:row>1</xdr:row>
      <xdr:rowOff>180975</xdr:rowOff>
    </xdr:to>
    <xdr:sp macro="" textlink="">
      <xdr:nvSpPr>
        <xdr:cNvPr id="2" name="TextBox 1"/>
        <xdr:cNvSpPr txBox="1"/>
      </xdr:nvSpPr>
      <xdr:spPr>
        <a:xfrm>
          <a:off x="76201" y="28575"/>
          <a:ext cx="1866899" cy="34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New construction cost </a:t>
          </a:r>
        </a:p>
      </xdr:txBody>
    </xdr:sp>
    <xdr:clientData/>
  </xdr:twoCellAnchor>
  <xdr:twoCellAnchor>
    <xdr:from>
      <xdr:col>0</xdr:col>
      <xdr:colOff>142875</xdr:colOff>
      <xdr:row>18</xdr:row>
      <xdr:rowOff>190499</xdr:rowOff>
    </xdr:from>
    <xdr:to>
      <xdr:col>8</xdr:col>
      <xdr:colOff>581025</xdr:colOff>
      <xdr:row>33</xdr:row>
      <xdr:rowOff>104774</xdr:rowOff>
    </xdr:to>
    <xdr:sp macro="" textlink="">
      <xdr:nvSpPr>
        <xdr:cNvPr id="3" name="TextBox 2"/>
        <xdr:cNvSpPr txBox="1"/>
      </xdr:nvSpPr>
      <xdr:spPr>
        <a:xfrm>
          <a:off x="142875" y="3619499"/>
          <a:ext cx="5505450" cy="2771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u="sng"/>
            <a:t>Notes</a:t>
          </a:r>
        </a:p>
        <a:p>
          <a:pPr algn="l"/>
          <a:r>
            <a:rPr lang="en-US" sz="1100" b="0" u="none"/>
            <a:t>KSC1 - 60 x 64 on first floor with 960 sq. ft. of that living area. There is also 960 sq. ft. of living area on a</a:t>
          </a:r>
          <a:r>
            <a:rPr lang="en-US" sz="1100" b="0" u="none" baseline="0"/>
            <a:t> second floor.</a:t>
          </a:r>
          <a:endParaRPr lang="en-US" sz="1100" b="0" u="none"/>
        </a:p>
        <a:p>
          <a:pPr algn="l"/>
          <a:endParaRPr lang="en-US" sz="1100" b="0" u="none"/>
        </a:p>
        <a:p>
          <a:pPr algn="l"/>
          <a:r>
            <a:rPr lang="en-US" sz="1100" b="0" u="none"/>
            <a:t>KSC2 - 1,748</a:t>
          </a:r>
          <a:r>
            <a:rPr lang="en-US" sz="1100" b="0" u="none" baseline="0"/>
            <a:t> sq. ft. of first floor finish, 1,748 sq. ft. of basement with 900 sq. ft. finished living area and 954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KSC3 - 1,092 sq. ft. first floor and 819 sq. ft. on second floor.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KSC4 - 783 sq. ft. of attached garage.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TXC1 - 2,050 sq. ft. shop area, 800 sq. ft. porches and 1,500 sq. ft. of lean-to.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TXC2 - 2,050 sq. ft. attached garage and 544 sq. ft. open porch.</a:t>
          </a:r>
        </a:p>
        <a:p>
          <a:pPr algn="l"/>
          <a:endParaRPr lang="en-US" sz="1100" b="0" u="none" baseline="0"/>
        </a:p>
        <a:p>
          <a:pPr algn="l"/>
          <a:r>
            <a:rPr lang="en-US" sz="1100" b="0" u="none" baseline="0"/>
            <a:t>TXC3 - Cost for building only without any finish.</a:t>
          </a:r>
          <a:endParaRPr lang="en-US" sz="1100" b="0" u="none"/>
        </a:p>
      </xdr:txBody>
    </xdr:sp>
    <xdr:clientData/>
  </xdr:twoCellAnchor>
  <xdr:twoCellAnchor>
    <xdr:from>
      <xdr:col>1</xdr:col>
      <xdr:colOff>123825</xdr:colOff>
      <xdr:row>14</xdr:row>
      <xdr:rowOff>180975</xdr:rowOff>
    </xdr:from>
    <xdr:to>
      <xdr:col>5</xdr:col>
      <xdr:colOff>9525</xdr:colOff>
      <xdr:row>16</xdr:row>
      <xdr:rowOff>66675</xdr:rowOff>
    </xdr:to>
    <xdr:sp macro="" textlink="">
      <xdr:nvSpPr>
        <xdr:cNvPr id="4" name="TextBox 3"/>
        <xdr:cNvSpPr txBox="1"/>
      </xdr:nvSpPr>
      <xdr:spPr>
        <a:xfrm>
          <a:off x="733425" y="2847975"/>
          <a:ext cx="2514600" cy="2667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Model building used in cost approach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5</xdr:col>
      <xdr:colOff>28575</xdr:colOff>
      <xdr:row>1</xdr:row>
      <xdr:rowOff>161925</xdr:rowOff>
    </xdr:to>
    <xdr:sp macro="" textlink="">
      <xdr:nvSpPr>
        <xdr:cNvPr id="2" name="TextBox 1"/>
        <xdr:cNvSpPr txBox="1"/>
      </xdr:nvSpPr>
      <xdr:spPr>
        <a:xfrm>
          <a:off x="390525" y="95250"/>
          <a:ext cx="22479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Building cost only</a:t>
          </a:r>
        </a:p>
      </xdr:txBody>
    </xdr:sp>
    <xdr:clientData/>
  </xdr:twoCellAnchor>
  <xdr:twoCellAnchor>
    <xdr:from>
      <xdr:col>1</xdr:col>
      <xdr:colOff>0</xdr:colOff>
      <xdr:row>9</xdr:row>
      <xdr:rowOff>104775</xdr:rowOff>
    </xdr:from>
    <xdr:to>
      <xdr:col>3</xdr:col>
      <xdr:colOff>657225</xdr:colOff>
      <xdr:row>10</xdr:row>
      <xdr:rowOff>152400</xdr:rowOff>
    </xdr:to>
    <xdr:sp macro="" textlink="">
      <xdr:nvSpPr>
        <xdr:cNvPr id="3" name="TextBox 2"/>
        <xdr:cNvSpPr txBox="1"/>
      </xdr:nvSpPr>
      <xdr:spPr>
        <a:xfrm>
          <a:off x="371475" y="2009775"/>
          <a:ext cx="16954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Sorted by Quality</a:t>
          </a:r>
        </a:p>
      </xdr:txBody>
    </xdr:sp>
    <xdr:clientData/>
  </xdr:twoCellAnchor>
  <xdr:twoCellAnchor>
    <xdr:from>
      <xdr:col>1</xdr:col>
      <xdr:colOff>0</xdr:colOff>
      <xdr:row>9</xdr:row>
      <xdr:rowOff>104775</xdr:rowOff>
    </xdr:from>
    <xdr:to>
      <xdr:col>3</xdr:col>
      <xdr:colOff>657225</xdr:colOff>
      <xdr:row>10</xdr:row>
      <xdr:rowOff>152400</xdr:rowOff>
    </xdr:to>
    <xdr:sp macro="" textlink="">
      <xdr:nvSpPr>
        <xdr:cNvPr id="4" name="TextBox 3"/>
        <xdr:cNvSpPr txBox="1"/>
      </xdr:nvSpPr>
      <xdr:spPr>
        <a:xfrm>
          <a:off x="371475" y="1819275"/>
          <a:ext cx="16954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Sorted by Quality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35</xdr:row>
      <xdr:rowOff>28575</xdr:rowOff>
    </xdr:from>
    <xdr:to>
      <xdr:col>4</xdr:col>
      <xdr:colOff>1009649</xdr:colOff>
      <xdr:row>38</xdr:row>
      <xdr:rowOff>114300</xdr:rowOff>
    </xdr:to>
    <xdr:sp macro="" textlink="">
      <xdr:nvSpPr>
        <xdr:cNvPr id="2" name="TextBox 1"/>
        <xdr:cNvSpPr txBox="1"/>
      </xdr:nvSpPr>
      <xdr:spPr>
        <a:xfrm>
          <a:off x="228599" y="6943725"/>
          <a:ext cx="4162425" cy="6858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latin typeface="Arial" pitchFamily="34" charset="0"/>
              <a:cs typeface="Arial" pitchFamily="34" charset="0"/>
            </a:rPr>
            <a:t>Without the one with building only of 720 sq. ft.</a:t>
          </a:r>
        </a:p>
      </xdr:txBody>
    </xdr:sp>
    <xdr:clientData/>
  </xdr:twoCellAnchor>
  <xdr:twoCellAnchor>
    <xdr:from>
      <xdr:col>0</xdr:col>
      <xdr:colOff>76200</xdr:colOff>
      <xdr:row>83</xdr:row>
      <xdr:rowOff>19050</xdr:rowOff>
    </xdr:from>
    <xdr:to>
      <xdr:col>7</xdr:col>
      <xdr:colOff>180975</xdr:colOff>
      <xdr:row>86</xdr:row>
      <xdr:rowOff>66675</xdr:rowOff>
    </xdr:to>
    <xdr:sp macro="" textlink="">
      <xdr:nvSpPr>
        <xdr:cNvPr id="8" name="TextBox 7"/>
        <xdr:cNvSpPr txBox="1"/>
      </xdr:nvSpPr>
      <xdr:spPr>
        <a:xfrm>
          <a:off x="76200" y="12477750"/>
          <a:ext cx="6143625" cy="6477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using costs of $10.50 and $25.00 with original quality adjustment factors</a:t>
          </a:r>
          <a:endParaRPr lang="en-US" sz="1800">
            <a:effectLst/>
          </a:endParaRPr>
        </a:p>
        <a:p>
          <a:endParaRPr lang="en-US" sz="1800"/>
        </a:p>
      </xdr:txBody>
    </xdr:sp>
    <xdr:clientData/>
  </xdr:twoCellAnchor>
  <xdr:twoCellAnchor>
    <xdr:from>
      <xdr:col>0</xdr:col>
      <xdr:colOff>57150</xdr:colOff>
      <xdr:row>53</xdr:row>
      <xdr:rowOff>9525</xdr:rowOff>
    </xdr:from>
    <xdr:to>
      <xdr:col>5</xdr:col>
      <xdr:colOff>695325</xdr:colOff>
      <xdr:row>55</xdr:row>
      <xdr:rowOff>47625</xdr:rowOff>
    </xdr:to>
    <xdr:sp macro="" textlink="">
      <xdr:nvSpPr>
        <xdr:cNvPr id="9" name="TextBox 8"/>
        <xdr:cNvSpPr txBox="1"/>
      </xdr:nvSpPr>
      <xdr:spPr>
        <a:xfrm>
          <a:off x="57150" y="8763000"/>
          <a:ext cx="5038725" cy="4381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Modified</a:t>
          </a:r>
          <a:r>
            <a:rPr lang="en-US" sz="1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Adjustment Factors</a:t>
          </a:r>
          <a:endParaRPr lang="en-US" sz="1800">
            <a:effectLst/>
          </a:endParaRPr>
        </a:p>
        <a:p>
          <a:endParaRPr lang="en-US" sz="1100"/>
        </a:p>
      </xdr:txBody>
    </xdr:sp>
    <xdr:clientData/>
  </xdr:twoCellAnchor>
  <xdr:twoCellAnchor>
    <xdr:from>
      <xdr:col>0</xdr:col>
      <xdr:colOff>95249</xdr:colOff>
      <xdr:row>65</xdr:row>
      <xdr:rowOff>38099</xdr:rowOff>
    </xdr:from>
    <xdr:to>
      <xdr:col>6</xdr:col>
      <xdr:colOff>333374</xdr:colOff>
      <xdr:row>69</xdr:row>
      <xdr:rowOff>66675</xdr:rowOff>
    </xdr:to>
    <xdr:sp macro="" textlink="">
      <xdr:nvSpPr>
        <xdr:cNvPr id="10" name="TextBox 9"/>
        <xdr:cNvSpPr txBox="1"/>
      </xdr:nvSpPr>
      <xdr:spPr>
        <a:xfrm>
          <a:off x="95249" y="11172824"/>
          <a:ext cx="5457825" cy="790576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using new</a:t>
          </a:r>
          <a:r>
            <a:rPr lang="en-U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rates of $10.50 and $25.00 and new quality adjustment factors</a:t>
          </a:r>
          <a:endParaRPr lang="en-US" sz="1800">
            <a:effectLst/>
          </a:endParaRPr>
        </a:p>
        <a:p>
          <a:endParaRPr lang="en-US" sz="1800"/>
        </a:p>
      </xdr:txBody>
    </xdr:sp>
    <xdr:clientData/>
  </xdr:twoCellAnchor>
  <xdr:twoCellAnchor>
    <xdr:from>
      <xdr:col>0</xdr:col>
      <xdr:colOff>209550</xdr:colOff>
      <xdr:row>19</xdr:row>
      <xdr:rowOff>171450</xdr:rowOff>
    </xdr:from>
    <xdr:to>
      <xdr:col>6</xdr:col>
      <xdr:colOff>314325</xdr:colOff>
      <xdr:row>22</xdr:row>
      <xdr:rowOff>28575</xdr:rowOff>
    </xdr:to>
    <xdr:sp macro="" textlink="">
      <xdr:nvSpPr>
        <xdr:cNvPr id="11" name="TextBox 10"/>
        <xdr:cNvSpPr txBox="1"/>
      </xdr:nvSpPr>
      <xdr:spPr>
        <a:xfrm>
          <a:off x="209550" y="3914775"/>
          <a:ext cx="5324475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Cost ratio using original model</a:t>
          </a:r>
        </a:p>
      </xdr:txBody>
    </xdr:sp>
    <xdr:clientData/>
  </xdr:twoCellAnchor>
  <xdr:oneCellAnchor>
    <xdr:from>
      <xdr:col>7</xdr:col>
      <xdr:colOff>514350</xdr:colOff>
      <xdr:row>17</xdr:row>
      <xdr:rowOff>180975</xdr:rowOff>
    </xdr:from>
    <xdr:ext cx="184731" cy="264560"/>
    <xdr:sp macro="" textlink="">
      <xdr:nvSpPr>
        <xdr:cNvPr id="12" name="TextBox 11"/>
        <xdr:cNvSpPr txBox="1"/>
      </xdr:nvSpPr>
      <xdr:spPr>
        <a:xfrm>
          <a:off x="6553200" y="561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285750</xdr:colOff>
      <xdr:row>0</xdr:row>
      <xdr:rowOff>123825</xdr:rowOff>
    </xdr:from>
    <xdr:to>
      <xdr:col>6</xdr:col>
      <xdr:colOff>133350</xdr:colOff>
      <xdr:row>2</xdr:row>
      <xdr:rowOff>152400</xdr:rowOff>
    </xdr:to>
    <xdr:sp macro="" textlink="">
      <xdr:nvSpPr>
        <xdr:cNvPr id="13" name="TextBox 12"/>
        <xdr:cNvSpPr txBox="1"/>
      </xdr:nvSpPr>
      <xdr:spPr>
        <a:xfrm>
          <a:off x="285750" y="123825"/>
          <a:ext cx="5067300" cy="4095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Original</a:t>
          </a:r>
          <a:r>
            <a:rPr lang="en-US" sz="1800" b="1" baseline="0"/>
            <a:t> Model</a:t>
          </a:r>
          <a:endParaRPr lang="en-US" sz="18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57151</xdr:rowOff>
    </xdr:from>
    <xdr:to>
      <xdr:col>3</xdr:col>
      <xdr:colOff>552450</xdr:colOff>
      <xdr:row>1</xdr:row>
      <xdr:rowOff>95250</xdr:rowOff>
    </xdr:to>
    <xdr:sp macro="" textlink="">
      <xdr:nvSpPr>
        <xdr:cNvPr id="2" name="TextBox 1"/>
        <xdr:cNvSpPr txBox="1"/>
      </xdr:nvSpPr>
      <xdr:spPr>
        <a:xfrm>
          <a:off x="133350" y="57151"/>
          <a:ext cx="2247900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Interior Cost Only</a:t>
          </a:r>
        </a:p>
      </xdr:txBody>
    </xdr:sp>
    <xdr:clientData/>
  </xdr:twoCellAnchor>
  <xdr:twoCellAnchor>
    <xdr:from>
      <xdr:col>0</xdr:col>
      <xdr:colOff>200025</xdr:colOff>
      <xdr:row>12</xdr:row>
      <xdr:rowOff>9525</xdr:rowOff>
    </xdr:from>
    <xdr:to>
      <xdr:col>3</xdr:col>
      <xdr:colOff>190500</xdr:colOff>
      <xdr:row>13</xdr:row>
      <xdr:rowOff>142875</xdr:rowOff>
    </xdr:to>
    <xdr:sp macro="" textlink="">
      <xdr:nvSpPr>
        <xdr:cNvPr id="3" name="TextBox 2"/>
        <xdr:cNvSpPr txBox="1"/>
      </xdr:nvSpPr>
      <xdr:spPr>
        <a:xfrm>
          <a:off x="200025" y="2295525"/>
          <a:ext cx="181927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2001 Interior Cost Only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0</xdr:row>
      <xdr:rowOff>161924</xdr:rowOff>
    </xdr:from>
    <xdr:to>
      <xdr:col>10</xdr:col>
      <xdr:colOff>342900</xdr:colOff>
      <xdr:row>4</xdr:row>
      <xdr:rowOff>95250</xdr:rowOff>
    </xdr:to>
    <xdr:sp macro="" textlink="">
      <xdr:nvSpPr>
        <xdr:cNvPr id="2" name="TextBox 1"/>
        <xdr:cNvSpPr txBox="1"/>
      </xdr:nvSpPr>
      <xdr:spPr>
        <a:xfrm>
          <a:off x="266699" y="161924"/>
          <a:ext cx="6000751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Ratio of Model Cost vs. Extracted</a:t>
          </a:r>
          <a:r>
            <a:rPr lang="en-US" sz="1100" baseline="0"/>
            <a:t> Building Value from Sales. Used percent good based upon year of 2011. Model cost of $15.50 for the building and $25.00 for the residential and the quality adjustments as shown in the model cost.</a:t>
          </a:r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171450</xdr:rowOff>
    </xdr:from>
    <xdr:to>
      <xdr:col>10</xdr:col>
      <xdr:colOff>9525</xdr:colOff>
      <xdr:row>3</xdr:row>
      <xdr:rowOff>47625</xdr:rowOff>
    </xdr:to>
    <xdr:sp macro="" textlink="">
      <xdr:nvSpPr>
        <xdr:cNvPr id="2" name="TextBox 1"/>
        <xdr:cNvSpPr txBox="1"/>
      </xdr:nvSpPr>
      <xdr:spPr>
        <a:xfrm>
          <a:off x="76200" y="171450"/>
          <a:ext cx="566737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Model Cost vs. Extracted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Building Value from Sales. Used percent good based upon year of 2011. The residential cost is using Marshall Swift  Manufactured cost of Low and qualtiy adjustment from the Model Cost.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2" name="TextBox 1"/>
        <xdr:cNvSpPr txBox="1"/>
      </xdr:nvSpPr>
      <xdr:spPr>
        <a:xfrm>
          <a:off x="95250" y="190500"/>
          <a:ext cx="56388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Model Cost vs. Extracted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Building Value from Sales. Used percent good based upon year of 2011. The residential cost is using Marshall Swift  with a Low cost home = to Fair quality Barndominiums, etc.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9525</xdr:rowOff>
    </xdr:from>
    <xdr:to>
      <xdr:col>9</xdr:col>
      <xdr:colOff>0</xdr:colOff>
      <xdr:row>4</xdr:row>
      <xdr:rowOff>76200</xdr:rowOff>
    </xdr:to>
    <xdr:sp macro="" textlink="">
      <xdr:nvSpPr>
        <xdr:cNvPr id="2" name="TextBox 1"/>
        <xdr:cNvSpPr txBox="1"/>
      </xdr:nvSpPr>
      <xdr:spPr>
        <a:xfrm>
          <a:off x="76200" y="200025"/>
          <a:ext cx="605790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Ratio of Model Cost vs. Extracted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Building Value from Sales. Used percent good based upon year of 2011. The residential cost is using Marshall Swift  with a Low cost home = to Average quality Barndominiums and adjustments for the establishing the Low and Fair qualities being calculated.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K22" sqref="K22"/>
    </sheetView>
  </sheetViews>
  <sheetFormatPr defaultRowHeight="15" x14ac:dyDescent="0.25"/>
  <cols>
    <col min="3" max="3" width="11.5703125" bestFit="1" customWidth="1"/>
    <col min="5" max="5" width="9.5703125" style="2" bestFit="1" customWidth="1"/>
    <col min="7" max="9" width="9.140625" style="2"/>
    <col min="10" max="10" width="12.5703125" style="2" bestFit="1" customWidth="1"/>
    <col min="11" max="11" width="9.140625" style="2"/>
    <col min="12" max="12" width="9.7109375" bestFit="1" customWidth="1"/>
  </cols>
  <sheetData>
    <row r="1" spans="1:13" x14ac:dyDescent="0.25">
      <c r="A1" s="2"/>
      <c r="B1" s="9"/>
      <c r="C1" s="2"/>
      <c r="D1" s="2"/>
      <c r="F1" s="2"/>
      <c r="L1" s="2"/>
      <c r="M1" s="2"/>
    </row>
    <row r="3" spans="1:13" s="2" customFormat="1" x14ac:dyDescent="0.25">
      <c r="E3" s="3" t="s">
        <v>10</v>
      </c>
      <c r="F3" s="3" t="s">
        <v>10</v>
      </c>
      <c r="G3" s="3"/>
      <c r="H3" s="3" t="s">
        <v>19</v>
      </c>
      <c r="I3" s="3" t="s">
        <v>11</v>
      </c>
      <c r="J3" s="3" t="s">
        <v>8</v>
      </c>
      <c r="K3" s="3" t="s">
        <v>8</v>
      </c>
      <c r="L3" s="3" t="s">
        <v>14</v>
      </c>
    </row>
    <row r="4" spans="1:13" x14ac:dyDescent="0.25">
      <c r="A4" s="3" t="s">
        <v>0</v>
      </c>
      <c r="B4" s="3" t="s">
        <v>12</v>
      </c>
      <c r="C4" s="5" t="s">
        <v>6</v>
      </c>
      <c r="D4" s="6" t="s">
        <v>2</v>
      </c>
      <c r="E4" s="6" t="s">
        <v>5</v>
      </c>
      <c r="F4" s="4" t="s">
        <v>9</v>
      </c>
      <c r="G4" s="4" t="s">
        <v>7</v>
      </c>
      <c r="H4" s="4" t="s">
        <v>20</v>
      </c>
      <c r="I4" s="4" t="s">
        <v>9</v>
      </c>
      <c r="J4" s="4" t="s">
        <v>1</v>
      </c>
      <c r="K4" s="4" t="s">
        <v>9</v>
      </c>
      <c r="L4" s="3" t="s">
        <v>3</v>
      </c>
      <c r="M4" s="3" t="s">
        <v>16</v>
      </c>
    </row>
    <row r="5" spans="1:13" x14ac:dyDescent="0.25">
      <c r="A5" s="8" t="s">
        <v>4</v>
      </c>
      <c r="B5" s="8">
        <v>2010</v>
      </c>
      <c r="C5" s="10">
        <v>80660</v>
      </c>
      <c r="D5" s="8" t="s">
        <v>13</v>
      </c>
      <c r="E5" s="11">
        <v>3840</v>
      </c>
      <c r="F5" s="1">
        <f>C5/E5</f>
        <v>21.005208333333332</v>
      </c>
      <c r="G5" s="10">
        <v>40222</v>
      </c>
      <c r="H5" s="11">
        <v>1920</v>
      </c>
      <c r="I5" s="1">
        <f>G5/H5</f>
        <v>20.948958333333334</v>
      </c>
      <c r="J5" s="10">
        <f>C5+G5</f>
        <v>120882</v>
      </c>
      <c r="K5" s="1">
        <f t="shared" ref="K5:K14" si="0">J5/E5</f>
        <v>31.479687500000001</v>
      </c>
      <c r="L5" s="7" t="s">
        <v>34</v>
      </c>
      <c r="M5" s="7" t="s">
        <v>23</v>
      </c>
    </row>
    <row r="6" spans="1:13" x14ac:dyDescent="0.25">
      <c r="A6" s="8"/>
      <c r="B6" s="8">
        <v>2008</v>
      </c>
      <c r="C6" s="10"/>
      <c r="D6" s="8"/>
      <c r="E6" s="11">
        <v>1748</v>
      </c>
      <c r="F6" s="1"/>
      <c r="G6" s="10"/>
      <c r="H6" s="11"/>
      <c r="I6" s="1"/>
      <c r="J6" s="10">
        <v>268000</v>
      </c>
      <c r="K6" s="1">
        <f t="shared" si="0"/>
        <v>153.31807780320366</v>
      </c>
      <c r="L6" s="7" t="s">
        <v>77</v>
      </c>
      <c r="M6" s="7" t="s">
        <v>24</v>
      </c>
    </row>
    <row r="7" spans="1:13" x14ac:dyDescent="0.25">
      <c r="A7" s="8"/>
      <c r="B7" s="8">
        <v>2008</v>
      </c>
      <c r="C7" s="10">
        <v>98172</v>
      </c>
      <c r="D7" s="8" t="s">
        <v>30</v>
      </c>
      <c r="E7" s="11">
        <v>3360</v>
      </c>
      <c r="F7" s="1"/>
      <c r="G7" s="10"/>
      <c r="H7" s="11">
        <v>1911</v>
      </c>
      <c r="I7" s="1"/>
      <c r="J7" s="10">
        <v>98172</v>
      </c>
      <c r="K7" s="1">
        <f t="shared" si="0"/>
        <v>29.217857142857142</v>
      </c>
      <c r="L7" s="7" t="s">
        <v>77</v>
      </c>
      <c r="M7" s="7" t="s">
        <v>25</v>
      </c>
    </row>
    <row r="8" spans="1:13" x14ac:dyDescent="0.25">
      <c r="A8" s="8"/>
      <c r="B8" s="8">
        <v>2009</v>
      </c>
      <c r="C8" s="10"/>
      <c r="D8" s="8"/>
      <c r="E8" s="11">
        <v>2745</v>
      </c>
      <c r="F8" s="1"/>
      <c r="G8" s="10"/>
      <c r="H8" s="11"/>
      <c r="I8" s="1"/>
      <c r="J8" s="10">
        <v>169358</v>
      </c>
      <c r="K8" s="1">
        <f t="shared" si="0"/>
        <v>61.696903460837888</v>
      </c>
      <c r="L8" s="7" t="s">
        <v>77</v>
      </c>
      <c r="M8" s="7" t="s">
        <v>26</v>
      </c>
    </row>
    <row r="9" spans="1:13" x14ac:dyDescent="0.25">
      <c r="A9" s="8"/>
      <c r="B9" s="8">
        <v>2010</v>
      </c>
      <c r="C9" s="10"/>
      <c r="D9" s="8"/>
      <c r="E9" s="11">
        <v>1770</v>
      </c>
      <c r="F9" s="1"/>
      <c r="G9" s="10"/>
      <c r="H9" s="11"/>
      <c r="I9" s="1"/>
      <c r="J9" s="10">
        <v>81974</v>
      </c>
      <c r="K9" s="1">
        <f t="shared" si="0"/>
        <v>46.312994350282487</v>
      </c>
      <c r="L9" s="7" t="s">
        <v>78</v>
      </c>
      <c r="M9" s="7"/>
    </row>
    <row r="10" spans="1:13" x14ac:dyDescent="0.25">
      <c r="A10" s="8"/>
      <c r="B10" s="8">
        <v>2010</v>
      </c>
      <c r="C10" s="10"/>
      <c r="D10" s="8"/>
      <c r="E10" s="11">
        <v>2475</v>
      </c>
      <c r="F10" s="1"/>
      <c r="G10" s="10"/>
      <c r="H10" s="11"/>
      <c r="I10" s="1"/>
      <c r="J10" s="10">
        <v>141189</v>
      </c>
      <c r="K10" s="1">
        <f t="shared" si="0"/>
        <v>57.046060606060607</v>
      </c>
      <c r="L10" s="7" t="s">
        <v>17</v>
      </c>
      <c r="M10" s="7"/>
    </row>
    <row r="11" spans="1:13" s="2" customFormat="1" x14ac:dyDescent="0.25">
      <c r="A11" s="8" t="s">
        <v>18</v>
      </c>
      <c r="B11" s="8">
        <v>2012</v>
      </c>
      <c r="C11" s="10">
        <v>92000</v>
      </c>
      <c r="D11" s="8"/>
      <c r="E11" s="11">
        <v>6000</v>
      </c>
      <c r="F11" s="1">
        <f>C11/E11</f>
        <v>15.333333333333334</v>
      </c>
      <c r="G11" s="10">
        <v>60000</v>
      </c>
      <c r="H11" s="11">
        <v>1650</v>
      </c>
      <c r="I11" s="1">
        <f t="shared" ref="I11:I14" si="1">G11/H11</f>
        <v>36.363636363636367</v>
      </c>
      <c r="J11" s="10">
        <f t="shared" ref="J11:J14" si="2">C11+G11</f>
        <v>152000</v>
      </c>
      <c r="K11" s="1">
        <f t="shared" si="0"/>
        <v>25.333333333333332</v>
      </c>
      <c r="L11" s="7" t="s">
        <v>21</v>
      </c>
      <c r="M11" s="7" t="s">
        <v>27</v>
      </c>
    </row>
    <row r="12" spans="1:13" s="2" customFormat="1" x14ac:dyDescent="0.25">
      <c r="A12" s="24"/>
      <c r="B12" s="24">
        <v>2010</v>
      </c>
      <c r="C12" s="25">
        <v>55741</v>
      </c>
      <c r="D12" s="24"/>
      <c r="E12" s="26">
        <v>5450</v>
      </c>
      <c r="F12" s="27">
        <f>C12/E12</f>
        <v>10.227706422018349</v>
      </c>
      <c r="G12" s="25">
        <v>43719</v>
      </c>
      <c r="H12" s="26">
        <v>1700</v>
      </c>
      <c r="I12" s="27">
        <f t="shared" si="1"/>
        <v>25.717058823529413</v>
      </c>
      <c r="J12" s="25">
        <f t="shared" si="2"/>
        <v>99460</v>
      </c>
      <c r="K12" s="27">
        <f t="shared" si="0"/>
        <v>18.249541284403669</v>
      </c>
      <c r="L12" s="28" t="s">
        <v>78</v>
      </c>
      <c r="M12" s="28" t="s">
        <v>28</v>
      </c>
    </row>
    <row r="13" spans="1:13" s="2" customFormat="1" x14ac:dyDescent="0.25">
      <c r="A13" s="8"/>
      <c r="B13" s="8">
        <v>2012</v>
      </c>
      <c r="C13" s="10">
        <v>16251</v>
      </c>
      <c r="D13" s="8" t="s">
        <v>22</v>
      </c>
      <c r="E13" s="11">
        <v>720</v>
      </c>
      <c r="F13" s="1">
        <f>C13/E13</f>
        <v>22.570833333333333</v>
      </c>
      <c r="G13" s="10"/>
      <c r="H13" s="11"/>
      <c r="I13" s="1"/>
      <c r="J13" s="10">
        <f t="shared" si="2"/>
        <v>16251</v>
      </c>
      <c r="K13" s="1">
        <f t="shared" si="0"/>
        <v>22.570833333333333</v>
      </c>
      <c r="L13" s="7" t="s">
        <v>21</v>
      </c>
      <c r="M13" s="7" t="s">
        <v>29</v>
      </c>
    </row>
    <row r="14" spans="1:13" s="2" customFormat="1" x14ac:dyDescent="0.25">
      <c r="A14" s="8"/>
      <c r="B14" s="8">
        <v>2012</v>
      </c>
      <c r="C14" s="10">
        <v>54982</v>
      </c>
      <c r="D14" s="8" t="s">
        <v>31</v>
      </c>
      <c r="E14" s="11">
        <v>4000</v>
      </c>
      <c r="F14" s="1">
        <f>C14/E14</f>
        <v>13.7455</v>
      </c>
      <c r="G14" s="10">
        <v>51000</v>
      </c>
      <c r="H14" s="11">
        <v>2080</v>
      </c>
      <c r="I14" s="1">
        <f t="shared" si="1"/>
        <v>24.51923076923077</v>
      </c>
      <c r="J14" s="10">
        <f t="shared" si="2"/>
        <v>105982</v>
      </c>
      <c r="K14" s="1">
        <f t="shared" si="0"/>
        <v>26.4955</v>
      </c>
      <c r="L14" s="7" t="s">
        <v>21</v>
      </c>
      <c r="M14" s="7" t="s">
        <v>32</v>
      </c>
    </row>
    <row r="15" spans="1:13" x14ac:dyDescent="0.25">
      <c r="A15" s="8"/>
      <c r="B15" s="8"/>
      <c r="C15" s="10"/>
      <c r="D15" s="8"/>
      <c r="E15" s="11"/>
      <c r="F15" s="1"/>
      <c r="G15" s="10"/>
      <c r="H15" s="11"/>
      <c r="I15" s="1"/>
      <c r="J15" s="10"/>
      <c r="K15" s="1"/>
      <c r="L15" s="7"/>
      <c r="M15" s="7"/>
    </row>
    <row r="16" spans="1:13" x14ac:dyDescent="0.25">
      <c r="A16" s="29"/>
      <c r="B16" s="8"/>
      <c r="C16" s="10"/>
      <c r="D16" s="8"/>
      <c r="E16" s="11"/>
      <c r="F16" s="1"/>
      <c r="G16" s="10"/>
      <c r="H16" s="11"/>
      <c r="I16" s="1"/>
      <c r="J16" s="10"/>
      <c r="K16" s="1"/>
      <c r="L16" s="7"/>
      <c r="M16" s="7"/>
    </row>
    <row r="17" spans="1:13" x14ac:dyDescent="0.25">
      <c r="A17" s="8"/>
      <c r="B17" s="8"/>
      <c r="C17" s="10"/>
      <c r="D17" s="8"/>
      <c r="E17" s="11"/>
      <c r="F17" s="1"/>
      <c r="G17" s="10"/>
      <c r="H17" s="10"/>
      <c r="I17" s="1"/>
      <c r="J17" s="10"/>
      <c r="K17" s="1"/>
      <c r="L17" s="7"/>
      <c r="M17" s="7"/>
    </row>
    <row r="18" spans="1:13" x14ac:dyDescent="0.25">
      <c r="A18" s="8"/>
      <c r="B18" s="8"/>
      <c r="C18" s="10"/>
      <c r="D18" s="8"/>
      <c r="E18" s="11"/>
      <c r="F18" s="8"/>
      <c r="G18" s="10"/>
      <c r="H18" s="10"/>
      <c r="I18" s="1"/>
      <c r="J18" s="10"/>
      <c r="K18" s="1"/>
      <c r="L18" s="7"/>
      <c r="M18" s="7"/>
    </row>
    <row r="19" spans="1:13" x14ac:dyDescent="0.25">
      <c r="A19" s="8"/>
      <c r="B19" s="8"/>
      <c r="C19" s="10"/>
      <c r="D19" s="8"/>
      <c r="E19" s="11"/>
      <c r="F19" s="8"/>
      <c r="G19" s="10"/>
      <c r="H19" s="10"/>
      <c r="I19" s="1"/>
      <c r="J19" s="10"/>
      <c r="K19" s="1"/>
      <c r="L19" s="7"/>
      <c r="M19" s="7"/>
    </row>
    <row r="20" spans="1:13" x14ac:dyDescent="0.25">
      <c r="A20" s="8"/>
      <c r="C20" s="10"/>
      <c r="E20" s="11"/>
      <c r="G20" s="10"/>
      <c r="H20" s="10"/>
      <c r="J20" s="10"/>
      <c r="M20" s="7"/>
    </row>
    <row r="21" spans="1:13" x14ac:dyDescent="0.25">
      <c r="A21" s="8"/>
      <c r="C21" s="10"/>
      <c r="J21" s="10"/>
      <c r="M21" s="7"/>
    </row>
    <row r="22" spans="1:13" x14ac:dyDescent="0.25">
      <c r="A22" s="8"/>
      <c r="J22" s="10"/>
      <c r="M22" s="7"/>
    </row>
    <row r="23" spans="1:13" x14ac:dyDescent="0.25">
      <c r="A23" s="8"/>
      <c r="J23" s="10"/>
    </row>
    <row r="24" spans="1:13" x14ac:dyDescent="0.25">
      <c r="J24" s="10"/>
    </row>
    <row r="25" spans="1:13" x14ac:dyDescent="0.25">
      <c r="J25" s="10"/>
    </row>
  </sheetData>
  <printOptions headings="1" gridLine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0" workbookViewId="0">
      <selection activeCell="A12" sqref="A12:F24"/>
    </sheetView>
  </sheetViews>
  <sheetFormatPr defaultRowHeight="15" x14ac:dyDescent="0.25"/>
  <cols>
    <col min="1" max="1" width="5.5703125" bestFit="1" customWidth="1"/>
    <col min="2" max="2" width="7.7109375" bestFit="1" customWidth="1"/>
    <col min="3" max="3" width="7.85546875" bestFit="1" customWidth="1"/>
    <col min="4" max="4" width="10" bestFit="1" customWidth="1"/>
    <col min="5" max="5" width="8" bestFit="1" customWidth="1"/>
    <col min="6" max="6" width="9.7109375" bestFit="1" customWidth="1"/>
  </cols>
  <sheetData>
    <row r="1" spans="1:7" s="2" customFormat="1" x14ac:dyDescent="0.25"/>
    <row r="3" spans="1:7" x14ac:dyDescent="0.25">
      <c r="A3" s="12"/>
      <c r="B3" s="12"/>
      <c r="C3" s="12"/>
      <c r="D3" s="13" t="s">
        <v>33</v>
      </c>
      <c r="E3" s="13" t="s">
        <v>8</v>
      </c>
      <c r="F3" s="13" t="s">
        <v>14</v>
      </c>
      <c r="G3" s="70"/>
    </row>
    <row r="4" spans="1:7" x14ac:dyDescent="0.25">
      <c r="A4" s="13" t="s">
        <v>0</v>
      </c>
      <c r="B4" s="13" t="s">
        <v>12</v>
      </c>
      <c r="C4" s="14" t="s">
        <v>5</v>
      </c>
      <c r="D4" s="15" t="s">
        <v>1</v>
      </c>
      <c r="E4" s="15" t="s">
        <v>9</v>
      </c>
      <c r="F4" s="13" t="s">
        <v>3</v>
      </c>
      <c r="G4" s="71"/>
    </row>
    <row r="5" spans="1:7" x14ac:dyDescent="0.25">
      <c r="A5" s="16" t="s">
        <v>18</v>
      </c>
      <c r="B5" s="16">
        <v>2012</v>
      </c>
      <c r="C5" s="17">
        <v>4000</v>
      </c>
      <c r="D5" s="18">
        <v>54982</v>
      </c>
      <c r="E5" s="19">
        <f t="shared" ref="E5:E9" si="0">D5/C5</f>
        <v>13.7455</v>
      </c>
      <c r="F5" s="20" t="s">
        <v>21</v>
      </c>
      <c r="G5" s="72"/>
    </row>
    <row r="6" spans="1:7" x14ac:dyDescent="0.25">
      <c r="A6" s="16" t="s">
        <v>18</v>
      </c>
      <c r="B6" s="16">
        <v>2012</v>
      </c>
      <c r="C6" s="17">
        <v>6000</v>
      </c>
      <c r="D6" s="18">
        <v>92000</v>
      </c>
      <c r="E6" s="19">
        <f t="shared" si="0"/>
        <v>15.333333333333334</v>
      </c>
      <c r="F6" s="20" t="s">
        <v>21</v>
      </c>
      <c r="G6" s="72"/>
    </row>
    <row r="7" spans="1:7" x14ac:dyDescent="0.25">
      <c r="A7" s="16" t="s">
        <v>4</v>
      </c>
      <c r="B7" s="16">
        <v>2010</v>
      </c>
      <c r="C7" s="17">
        <v>3840</v>
      </c>
      <c r="D7" s="18">
        <v>80660</v>
      </c>
      <c r="E7" s="19">
        <f t="shared" si="0"/>
        <v>21.005208333333332</v>
      </c>
      <c r="F7" s="20" t="s">
        <v>34</v>
      </c>
      <c r="G7" s="72"/>
    </row>
    <row r="8" spans="1:7" x14ac:dyDescent="0.25">
      <c r="A8" s="16" t="s">
        <v>18</v>
      </c>
      <c r="B8" s="16">
        <v>2012</v>
      </c>
      <c r="C8" s="17">
        <v>720</v>
      </c>
      <c r="D8" s="18">
        <v>16251</v>
      </c>
      <c r="E8" s="19">
        <f t="shared" si="0"/>
        <v>22.570833333333333</v>
      </c>
      <c r="F8" s="20" t="s">
        <v>21</v>
      </c>
      <c r="G8" s="70"/>
    </row>
    <row r="9" spans="1:7" x14ac:dyDescent="0.25">
      <c r="A9" s="16" t="s">
        <v>4</v>
      </c>
      <c r="B9" s="16">
        <v>2008</v>
      </c>
      <c r="C9" s="17">
        <v>3360</v>
      </c>
      <c r="D9" s="18">
        <v>98172</v>
      </c>
      <c r="E9" s="19">
        <f t="shared" si="0"/>
        <v>29.217857142857142</v>
      </c>
      <c r="F9" s="20" t="s">
        <v>77</v>
      </c>
      <c r="G9" s="72"/>
    </row>
    <row r="10" spans="1:7" x14ac:dyDescent="0.25">
      <c r="F10" s="73"/>
      <c r="G10" s="70"/>
    </row>
    <row r="11" spans="1:7" x14ac:dyDescent="0.25">
      <c r="F11" s="73"/>
      <c r="G11" s="70"/>
    </row>
    <row r="12" spans="1:7" x14ac:dyDescent="0.25">
      <c r="A12" s="12"/>
      <c r="B12" s="12"/>
      <c r="C12" s="13" t="s">
        <v>10</v>
      </c>
      <c r="D12" s="13" t="s">
        <v>33</v>
      </c>
      <c r="E12" s="13" t="s">
        <v>8</v>
      </c>
      <c r="F12" s="13" t="s">
        <v>14</v>
      </c>
      <c r="G12" s="70"/>
    </row>
    <row r="13" spans="1:7" x14ac:dyDescent="0.25">
      <c r="A13" s="13" t="s">
        <v>0</v>
      </c>
      <c r="B13" s="13" t="s">
        <v>12</v>
      </c>
      <c r="C13" s="14" t="s">
        <v>5</v>
      </c>
      <c r="D13" s="15" t="s">
        <v>1</v>
      </c>
      <c r="E13" s="15" t="s">
        <v>9</v>
      </c>
      <c r="F13" s="13" t="s">
        <v>3</v>
      </c>
      <c r="G13" s="71"/>
    </row>
    <row r="14" spans="1:7" x14ac:dyDescent="0.25">
      <c r="A14" s="16" t="s">
        <v>18</v>
      </c>
      <c r="B14" s="16">
        <v>2012</v>
      </c>
      <c r="C14" s="17">
        <v>4000</v>
      </c>
      <c r="D14" s="18">
        <v>54982</v>
      </c>
      <c r="E14" s="19">
        <f t="shared" ref="E14:E18" si="1">D14/C14</f>
        <v>13.7455</v>
      </c>
      <c r="F14" s="20" t="s">
        <v>21</v>
      </c>
      <c r="G14" s="72"/>
    </row>
    <row r="15" spans="1:7" x14ac:dyDescent="0.25">
      <c r="A15" s="16" t="s">
        <v>18</v>
      </c>
      <c r="B15" s="16">
        <v>2012</v>
      </c>
      <c r="C15" s="17">
        <v>6000</v>
      </c>
      <c r="D15" s="18">
        <v>92000</v>
      </c>
      <c r="E15" s="19">
        <f t="shared" si="1"/>
        <v>15.333333333333334</v>
      </c>
      <c r="F15" s="20" t="s">
        <v>21</v>
      </c>
      <c r="G15" s="72"/>
    </row>
    <row r="16" spans="1:7" x14ac:dyDescent="0.25">
      <c r="A16" s="16" t="s">
        <v>18</v>
      </c>
      <c r="B16" s="16">
        <v>2012</v>
      </c>
      <c r="C16" s="17">
        <v>720</v>
      </c>
      <c r="D16" s="18">
        <v>16251</v>
      </c>
      <c r="E16" s="19">
        <f t="shared" si="1"/>
        <v>22.570833333333333</v>
      </c>
      <c r="F16" s="20" t="s">
        <v>21</v>
      </c>
      <c r="G16" s="70"/>
    </row>
    <row r="17" spans="1:7" x14ac:dyDescent="0.25">
      <c r="A17" s="16" t="s">
        <v>4</v>
      </c>
      <c r="B17" s="16">
        <v>2010</v>
      </c>
      <c r="C17" s="17">
        <v>3840</v>
      </c>
      <c r="D17" s="18">
        <v>80660</v>
      </c>
      <c r="E17" s="19">
        <f t="shared" si="1"/>
        <v>21.005208333333332</v>
      </c>
      <c r="F17" s="20" t="s">
        <v>34</v>
      </c>
      <c r="G17" s="72"/>
    </row>
    <row r="18" spans="1:7" x14ac:dyDescent="0.25">
      <c r="A18" s="16" t="s">
        <v>4</v>
      </c>
      <c r="B18" s="16">
        <v>2008</v>
      </c>
      <c r="C18" s="17">
        <v>3360</v>
      </c>
      <c r="D18" s="18">
        <v>98172</v>
      </c>
      <c r="E18" s="19">
        <f t="shared" si="1"/>
        <v>29.217857142857142</v>
      </c>
      <c r="F18" s="20" t="s">
        <v>77</v>
      </c>
      <c r="G18" s="72"/>
    </row>
    <row r="19" spans="1:7" x14ac:dyDescent="0.25">
      <c r="C19" s="16" t="s">
        <v>37</v>
      </c>
      <c r="D19" s="16" t="s">
        <v>35</v>
      </c>
      <c r="E19" s="21">
        <f>MEDIAN(E14:E18)</f>
        <v>21.005208333333332</v>
      </c>
    </row>
    <row r="20" spans="1:7" x14ac:dyDescent="0.25">
      <c r="C20" s="16" t="s">
        <v>37</v>
      </c>
      <c r="D20" s="16" t="s">
        <v>36</v>
      </c>
      <c r="E20" s="21">
        <f>AVERAGE(E14:E18)</f>
        <v>20.374546428571428</v>
      </c>
    </row>
    <row r="21" spans="1:7" s="2" customFormat="1" x14ac:dyDescent="0.25">
      <c r="C21" s="16" t="s">
        <v>21</v>
      </c>
      <c r="D21" s="16" t="s">
        <v>35</v>
      </c>
      <c r="E21" s="21">
        <v>15.33</v>
      </c>
    </row>
    <row r="22" spans="1:7" s="2" customFormat="1" x14ac:dyDescent="0.25">
      <c r="C22" s="23" t="s">
        <v>21</v>
      </c>
      <c r="D22" s="16" t="s">
        <v>36</v>
      </c>
      <c r="E22" s="21">
        <v>17.22</v>
      </c>
    </row>
    <row r="23" spans="1:7" s="2" customFormat="1" x14ac:dyDescent="0.25">
      <c r="C23" s="23" t="s">
        <v>34</v>
      </c>
      <c r="D23" s="16"/>
      <c r="E23" s="21">
        <v>21.01</v>
      </c>
    </row>
    <row r="24" spans="1:7" x14ac:dyDescent="0.25">
      <c r="C24" s="23" t="s">
        <v>79</v>
      </c>
      <c r="D24" s="16"/>
      <c r="E24" s="21">
        <v>29.22</v>
      </c>
    </row>
    <row r="25" spans="1:7" s="2" customFormat="1" x14ac:dyDescent="0.25">
      <c r="C25" s="61"/>
      <c r="D25" s="62"/>
      <c r="E25" s="63"/>
    </row>
    <row r="27" spans="1:7" x14ac:dyDescent="0.25">
      <c r="C27" s="15" t="s">
        <v>9</v>
      </c>
      <c r="D27" s="14" t="s">
        <v>5</v>
      </c>
    </row>
    <row r="28" spans="1:7" x14ac:dyDescent="0.25">
      <c r="C28" s="19">
        <v>13.75</v>
      </c>
      <c r="D28" s="17">
        <v>4000</v>
      </c>
    </row>
    <row r="29" spans="1:7" x14ac:dyDescent="0.25">
      <c r="C29" s="19">
        <v>15.33</v>
      </c>
      <c r="D29" s="17">
        <v>6000</v>
      </c>
    </row>
    <row r="30" spans="1:7" x14ac:dyDescent="0.25">
      <c r="C30" s="19">
        <v>21.01</v>
      </c>
      <c r="D30" s="17">
        <v>3840</v>
      </c>
    </row>
    <row r="31" spans="1:7" x14ac:dyDescent="0.25">
      <c r="C31" s="19">
        <v>22.57</v>
      </c>
      <c r="D31" s="17">
        <v>720</v>
      </c>
    </row>
    <row r="32" spans="1:7" x14ac:dyDescent="0.25">
      <c r="C32" s="19">
        <v>29.22</v>
      </c>
      <c r="D32" s="17">
        <v>3360</v>
      </c>
    </row>
  </sheetData>
  <sortState ref="A15:G20">
    <sortCondition ref="F15:F20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13" workbookViewId="0">
      <selection activeCell="L34" sqref="L34"/>
    </sheetView>
  </sheetViews>
  <sheetFormatPr defaultRowHeight="15" x14ac:dyDescent="0.25"/>
  <cols>
    <col min="1" max="1" width="15.7109375" customWidth="1"/>
    <col min="2" max="2" width="10.140625" customWidth="1"/>
    <col min="3" max="3" width="13.28515625" style="2" customWidth="1"/>
    <col min="4" max="4" width="11.5703125" customWidth="1"/>
    <col min="5" max="5" width="15.28515625" customWidth="1"/>
    <col min="6" max="6" width="12.28515625" customWidth="1"/>
    <col min="7" max="7" width="12.28515625" bestFit="1" customWidth="1"/>
    <col min="8" max="8" width="14.5703125" customWidth="1"/>
    <col min="9" max="9" width="12.28515625" bestFit="1" customWidth="1"/>
  </cols>
  <sheetData>
    <row r="1" spans="1:8" s="2" customFormat="1" x14ac:dyDescent="0.25"/>
    <row r="2" spans="1:8" s="2" customFormat="1" x14ac:dyDescent="0.25"/>
    <row r="3" spans="1:8" s="2" customFormat="1" x14ac:dyDescent="0.25"/>
    <row r="4" spans="1:8" s="2" customFormat="1" x14ac:dyDescent="0.25"/>
    <row r="5" spans="1:8" s="2" customFormat="1" ht="15.75" x14ac:dyDescent="0.25">
      <c r="A5" s="41"/>
      <c r="B5" s="42" t="s">
        <v>42</v>
      </c>
      <c r="C5" s="42" t="s">
        <v>67</v>
      </c>
    </row>
    <row r="6" spans="1:8" s="2" customFormat="1" ht="15.75" x14ac:dyDescent="0.25">
      <c r="A6" s="43" t="s">
        <v>66</v>
      </c>
      <c r="B6" s="44">
        <v>15.5</v>
      </c>
      <c r="C6" s="44">
        <v>25</v>
      </c>
    </row>
    <row r="7" spans="1:8" s="2" customFormat="1" x14ac:dyDescent="0.25"/>
    <row r="8" spans="1:8" s="2" customFormat="1" ht="15.75" x14ac:dyDescent="0.25">
      <c r="A8" s="30" t="s">
        <v>41</v>
      </c>
      <c r="B8" s="31" t="s">
        <v>49</v>
      </c>
      <c r="C8" s="31" t="s">
        <v>43</v>
      </c>
      <c r="D8" s="31" t="s">
        <v>48</v>
      </c>
      <c r="E8" s="31" t="s">
        <v>44</v>
      </c>
      <c r="F8" s="31" t="s">
        <v>80</v>
      </c>
      <c r="G8" s="31" t="s">
        <v>45</v>
      </c>
      <c r="H8" s="31" t="s">
        <v>81</v>
      </c>
    </row>
    <row r="9" spans="1:8" s="2" customFormat="1" ht="15.75" x14ac:dyDescent="0.25">
      <c r="A9" s="32" t="s">
        <v>42</v>
      </c>
      <c r="B9" s="33">
        <v>0.4</v>
      </c>
      <c r="C9" s="33">
        <v>0.55000000000000004</v>
      </c>
      <c r="D9" s="33">
        <v>0.75</v>
      </c>
      <c r="E9" s="33">
        <v>1</v>
      </c>
      <c r="F9" s="33">
        <v>1.25</v>
      </c>
      <c r="G9" s="33">
        <v>1.45</v>
      </c>
      <c r="H9" s="33">
        <v>1.7</v>
      </c>
    </row>
    <row r="10" spans="1:8" s="2" customFormat="1" ht="15.75" x14ac:dyDescent="0.25">
      <c r="A10" s="32" t="s">
        <v>50</v>
      </c>
      <c r="B10" s="33">
        <v>0.7</v>
      </c>
      <c r="C10" s="33">
        <v>0.8</v>
      </c>
      <c r="D10" s="33">
        <v>0.9</v>
      </c>
      <c r="E10" s="33">
        <v>1</v>
      </c>
      <c r="F10" s="33">
        <v>1.1499999999999999</v>
      </c>
      <c r="G10" s="33">
        <v>1.3</v>
      </c>
      <c r="H10" s="33">
        <v>1.45</v>
      </c>
    </row>
    <row r="11" spans="1:8" s="2" customFormat="1" ht="15.75" x14ac:dyDescent="0.25">
      <c r="A11" s="64"/>
      <c r="B11" s="46"/>
      <c r="C11" s="46"/>
      <c r="D11" s="46"/>
      <c r="E11" s="46"/>
      <c r="F11" s="46"/>
      <c r="G11" s="46"/>
      <c r="H11" s="46"/>
    </row>
    <row r="12" spans="1:8" s="2" customFormat="1" ht="15.75" x14ac:dyDescent="0.25">
      <c r="A12" s="64"/>
      <c r="B12" s="46"/>
      <c r="C12" s="46"/>
      <c r="D12" s="46"/>
      <c r="E12" s="46"/>
      <c r="F12" s="46"/>
      <c r="G12" s="46"/>
      <c r="H12" s="46"/>
    </row>
    <row r="13" spans="1:8" s="2" customFormat="1" ht="15.75" x14ac:dyDescent="0.25">
      <c r="A13" s="32" t="s">
        <v>41</v>
      </c>
      <c r="B13" s="65" t="s">
        <v>84</v>
      </c>
      <c r="C13" s="65" t="s">
        <v>85</v>
      </c>
      <c r="D13" s="65" t="s">
        <v>83</v>
      </c>
      <c r="E13" s="65" t="s">
        <v>86</v>
      </c>
      <c r="F13" s="46"/>
      <c r="G13" s="46"/>
      <c r="H13" s="46"/>
    </row>
    <row r="14" spans="1:8" s="2" customFormat="1" ht="15.75" x14ac:dyDescent="0.25">
      <c r="A14" s="32" t="s">
        <v>42</v>
      </c>
      <c r="B14" s="33">
        <v>2</v>
      </c>
      <c r="C14" s="33">
        <v>2.35</v>
      </c>
      <c r="D14" s="33">
        <v>2.75</v>
      </c>
      <c r="E14" s="33">
        <v>3.2</v>
      </c>
      <c r="F14" s="46"/>
      <c r="G14" s="46"/>
      <c r="H14" s="46"/>
    </row>
    <row r="15" spans="1:8" s="2" customFormat="1" ht="15.75" x14ac:dyDescent="0.25">
      <c r="A15" s="64"/>
      <c r="B15" s="46"/>
      <c r="C15" s="46"/>
      <c r="D15" s="46"/>
      <c r="E15" s="46"/>
      <c r="F15" s="46"/>
      <c r="G15" s="46"/>
      <c r="H15" s="46"/>
    </row>
    <row r="16" spans="1:8" s="2" customFormat="1" x14ac:dyDescent="0.25"/>
    <row r="17" spans="1:10" s="2" customFormat="1" ht="15.75" x14ac:dyDescent="0.25">
      <c r="A17" s="30" t="s">
        <v>63</v>
      </c>
      <c r="B17" s="31" t="s">
        <v>64</v>
      </c>
      <c r="C17" s="31" t="s">
        <v>43</v>
      </c>
      <c r="D17" s="31" t="s">
        <v>44</v>
      </c>
      <c r="E17" s="31" t="s">
        <v>45</v>
      </c>
      <c r="F17" s="31" t="s">
        <v>82</v>
      </c>
      <c r="G17" s="31" t="s">
        <v>83</v>
      </c>
    </row>
    <row r="18" spans="1:10" s="2" customFormat="1" ht="15.75" x14ac:dyDescent="0.25">
      <c r="A18" s="32" t="s">
        <v>65</v>
      </c>
      <c r="B18" s="39">
        <v>30</v>
      </c>
      <c r="C18" s="39">
        <v>35</v>
      </c>
      <c r="D18" s="39">
        <v>40</v>
      </c>
      <c r="E18" s="39">
        <v>45</v>
      </c>
      <c r="F18" s="39">
        <v>50</v>
      </c>
      <c r="G18" s="39">
        <v>55</v>
      </c>
    </row>
    <row r="19" spans="1:10" s="2" customFormat="1" ht="15.75" x14ac:dyDescent="0.25">
      <c r="A19" s="64"/>
      <c r="B19" s="66"/>
      <c r="C19" s="66"/>
      <c r="D19" s="66"/>
      <c r="E19" s="66"/>
      <c r="F19" s="66"/>
      <c r="G19" s="66"/>
    </row>
    <row r="20" spans="1:10" s="2" customFormat="1" ht="15.75" x14ac:dyDescent="0.25">
      <c r="A20" s="64"/>
      <c r="B20" s="66"/>
      <c r="C20" s="66"/>
      <c r="D20" s="66"/>
      <c r="E20" s="66"/>
      <c r="F20" s="66"/>
      <c r="G20" s="66"/>
    </row>
    <row r="22" spans="1:10" s="2" customFormat="1" x14ac:dyDescent="0.25"/>
    <row r="23" spans="1:10" s="2" customFormat="1" x14ac:dyDescent="0.25"/>
    <row r="24" spans="1:10" ht="15.75" x14ac:dyDescent="0.25">
      <c r="A24" s="30"/>
      <c r="B24" s="30"/>
      <c r="C24" s="30"/>
      <c r="D24" s="30"/>
      <c r="E24" s="32" t="s">
        <v>51</v>
      </c>
      <c r="F24" s="30"/>
      <c r="G24" s="32" t="s">
        <v>51</v>
      </c>
      <c r="H24" s="32" t="s">
        <v>51</v>
      </c>
      <c r="I24" s="30"/>
      <c r="J24" s="30"/>
    </row>
    <row r="25" spans="1:10" ht="15.75" x14ac:dyDescent="0.25">
      <c r="A25" s="30"/>
      <c r="B25" s="30"/>
      <c r="C25" s="30"/>
      <c r="D25" s="31" t="s">
        <v>10</v>
      </c>
      <c r="E25" s="31" t="s">
        <v>38</v>
      </c>
      <c r="F25" s="31" t="s">
        <v>19</v>
      </c>
      <c r="G25" s="31" t="s">
        <v>38</v>
      </c>
      <c r="H25" s="31" t="s">
        <v>8</v>
      </c>
      <c r="I25" s="31" t="s">
        <v>52</v>
      </c>
      <c r="J25" s="30"/>
    </row>
    <row r="26" spans="1:10" ht="15.75" x14ac:dyDescent="0.25">
      <c r="A26" s="31" t="s">
        <v>0</v>
      </c>
      <c r="B26" s="31" t="s">
        <v>12</v>
      </c>
      <c r="C26" s="31" t="s">
        <v>3</v>
      </c>
      <c r="D26" s="47" t="s">
        <v>5</v>
      </c>
      <c r="E26" s="31" t="s">
        <v>39</v>
      </c>
      <c r="F26" s="48" t="s">
        <v>20</v>
      </c>
      <c r="G26" s="31" t="s">
        <v>40</v>
      </c>
      <c r="H26" s="32" t="s">
        <v>38</v>
      </c>
      <c r="I26" s="31" t="s">
        <v>1</v>
      </c>
      <c r="J26" s="31" t="s">
        <v>53</v>
      </c>
    </row>
    <row r="27" spans="1:10" ht="15.75" x14ac:dyDescent="0.25">
      <c r="A27" s="49" t="s">
        <v>4</v>
      </c>
      <c r="B27" s="49">
        <v>2010</v>
      </c>
      <c r="C27" s="41" t="s">
        <v>34</v>
      </c>
      <c r="D27" s="50">
        <v>3840</v>
      </c>
      <c r="E27" s="35">
        <f>D27*15.5*1.3</f>
        <v>77376</v>
      </c>
      <c r="F27" s="50">
        <v>1920</v>
      </c>
      <c r="G27" s="35">
        <f>F27*25*1.3</f>
        <v>62400</v>
      </c>
      <c r="H27" s="35">
        <f>E27+G27</f>
        <v>139776</v>
      </c>
      <c r="I27" s="35">
        <v>120882</v>
      </c>
      <c r="J27" s="33">
        <f>H27/I27</f>
        <v>1.1563011862808359</v>
      </c>
    </row>
    <row r="28" spans="1:10" ht="15.75" x14ac:dyDescent="0.25">
      <c r="A28" s="49"/>
      <c r="B28" s="49">
        <v>2008</v>
      </c>
      <c r="C28" s="41" t="s">
        <v>77</v>
      </c>
      <c r="D28" s="50">
        <v>3360</v>
      </c>
      <c r="E28" s="35">
        <f>D28*15.5*1.7</f>
        <v>88536</v>
      </c>
      <c r="F28" s="50">
        <v>1911</v>
      </c>
      <c r="G28" s="35">
        <f>F28*25*1.45</f>
        <v>69273.75</v>
      </c>
      <c r="H28" s="35">
        <f t="shared" ref="H28:H32" si="0">E28+G28</f>
        <v>157809.75</v>
      </c>
      <c r="I28" s="35">
        <v>98172</v>
      </c>
      <c r="J28" s="33">
        <f t="shared" ref="J28:J32" si="1">H28/I28</f>
        <v>1.6074822760053784</v>
      </c>
    </row>
    <row r="29" spans="1:10" ht="15.75" x14ac:dyDescent="0.25">
      <c r="A29" s="49" t="s">
        <v>18</v>
      </c>
      <c r="B29" s="49">
        <v>2012</v>
      </c>
      <c r="C29" s="41" t="s">
        <v>21</v>
      </c>
      <c r="D29" s="50">
        <v>6000</v>
      </c>
      <c r="E29" s="35">
        <f>D29*15.5</f>
        <v>93000</v>
      </c>
      <c r="F29" s="50">
        <v>1650</v>
      </c>
      <c r="G29" s="35">
        <f t="shared" ref="G29:G32" si="2">F29*25</f>
        <v>41250</v>
      </c>
      <c r="H29" s="35">
        <f t="shared" si="0"/>
        <v>134250</v>
      </c>
      <c r="I29" s="35">
        <v>152000</v>
      </c>
      <c r="J29" s="33">
        <f t="shared" si="1"/>
        <v>0.88322368421052633</v>
      </c>
    </row>
    <row r="30" spans="1:10" ht="15.75" x14ac:dyDescent="0.25">
      <c r="A30" s="49"/>
      <c r="B30" s="49">
        <v>2010</v>
      </c>
      <c r="C30" s="51" t="s">
        <v>78</v>
      </c>
      <c r="D30" s="50">
        <v>5450</v>
      </c>
      <c r="E30" s="35">
        <f>D30*15.5*1.25</f>
        <v>105593.75</v>
      </c>
      <c r="F30" s="50">
        <v>1700</v>
      </c>
      <c r="G30" s="35">
        <f>F30*25*1.15</f>
        <v>48874.999999999993</v>
      </c>
      <c r="H30" s="35">
        <f t="shared" si="0"/>
        <v>154468.75</v>
      </c>
      <c r="I30" s="35">
        <v>99460</v>
      </c>
      <c r="J30" s="33">
        <f t="shared" si="1"/>
        <v>1.5530741001407602</v>
      </c>
    </row>
    <row r="31" spans="1:10" ht="15.75" x14ac:dyDescent="0.25">
      <c r="A31" s="49"/>
      <c r="B31" s="49">
        <v>2012</v>
      </c>
      <c r="C31" s="41" t="s">
        <v>21</v>
      </c>
      <c r="D31" s="50">
        <v>720</v>
      </c>
      <c r="E31" s="35">
        <f>D31*15.5</f>
        <v>11160</v>
      </c>
      <c r="F31" s="50"/>
      <c r="G31" s="35">
        <f t="shared" si="2"/>
        <v>0</v>
      </c>
      <c r="H31" s="35">
        <f t="shared" si="0"/>
        <v>11160</v>
      </c>
      <c r="I31" s="35">
        <v>16251</v>
      </c>
      <c r="J31" s="33">
        <f t="shared" si="1"/>
        <v>0.68672697064796018</v>
      </c>
    </row>
    <row r="32" spans="1:10" ht="15.75" x14ac:dyDescent="0.25">
      <c r="A32" s="49"/>
      <c r="B32" s="49">
        <v>2012</v>
      </c>
      <c r="C32" s="41" t="s">
        <v>21</v>
      </c>
      <c r="D32" s="50">
        <v>4000</v>
      </c>
      <c r="E32" s="35">
        <f>D32*15.5</f>
        <v>62000</v>
      </c>
      <c r="F32" s="50">
        <v>2080</v>
      </c>
      <c r="G32" s="35">
        <f t="shared" si="2"/>
        <v>52000</v>
      </c>
      <c r="H32" s="35">
        <f t="shared" si="0"/>
        <v>114000</v>
      </c>
      <c r="I32" s="35">
        <v>105982</v>
      </c>
      <c r="J32" s="33">
        <f t="shared" si="1"/>
        <v>1.0756543564001435</v>
      </c>
    </row>
    <row r="33" spans="1:10" ht="15.75" x14ac:dyDescent="0.25">
      <c r="I33" s="35" t="s">
        <v>35</v>
      </c>
      <c r="J33" s="33">
        <f>MEDIAN(J27:J32)</f>
        <v>1.1159777713404897</v>
      </c>
    </row>
    <row r="34" spans="1:10" s="2" customFormat="1" ht="15.75" x14ac:dyDescent="0.25">
      <c r="I34" s="35" t="s">
        <v>36</v>
      </c>
      <c r="J34" s="33">
        <f>AVERAGE(J27:J32)</f>
        <v>1.1604104289476007</v>
      </c>
    </row>
    <row r="35" spans="1:10" s="2" customFormat="1" ht="15.75" x14ac:dyDescent="0.25">
      <c r="C35" s="34"/>
      <c r="I35" s="45"/>
      <c r="J35" s="46"/>
    </row>
    <row r="36" spans="1:10" s="2" customFormat="1" ht="15.75" x14ac:dyDescent="0.25">
      <c r="I36" s="45"/>
      <c r="J36" s="46"/>
    </row>
    <row r="37" spans="1:10" s="2" customFormat="1" ht="15.75" x14ac:dyDescent="0.25">
      <c r="I37" s="45"/>
      <c r="J37" s="46"/>
    </row>
    <row r="38" spans="1:10" s="2" customFormat="1" ht="15.75" x14ac:dyDescent="0.25">
      <c r="I38" s="45"/>
      <c r="J38" s="46"/>
    </row>
    <row r="39" spans="1:10" s="2" customFormat="1" ht="15.75" x14ac:dyDescent="0.25">
      <c r="I39" s="45"/>
      <c r="J39" s="46"/>
    </row>
    <row r="40" spans="1:10" s="2" customFormat="1" ht="15.75" x14ac:dyDescent="0.25">
      <c r="A40" s="30"/>
      <c r="B40" s="30"/>
      <c r="C40" s="30"/>
      <c r="D40" s="30"/>
      <c r="E40" s="32" t="s">
        <v>51</v>
      </c>
      <c r="F40" s="30"/>
      <c r="G40" s="32" t="s">
        <v>51</v>
      </c>
      <c r="H40" s="32" t="s">
        <v>51</v>
      </c>
      <c r="I40" s="30"/>
      <c r="J40" s="30"/>
    </row>
    <row r="41" spans="1:10" s="2" customFormat="1" ht="15.75" x14ac:dyDescent="0.25">
      <c r="A41" s="30"/>
      <c r="B41" s="30"/>
      <c r="C41" s="30"/>
      <c r="D41" s="31" t="s">
        <v>10</v>
      </c>
      <c r="E41" s="31" t="s">
        <v>38</v>
      </c>
      <c r="F41" s="31" t="s">
        <v>19</v>
      </c>
      <c r="G41" s="31" t="s">
        <v>38</v>
      </c>
      <c r="H41" s="31" t="s">
        <v>8</v>
      </c>
      <c r="I41" s="31" t="s">
        <v>52</v>
      </c>
      <c r="J41" s="30"/>
    </row>
    <row r="42" spans="1:10" s="2" customFormat="1" ht="15.75" x14ac:dyDescent="0.25">
      <c r="A42" s="31" t="s">
        <v>0</v>
      </c>
      <c r="B42" s="31" t="s">
        <v>12</v>
      </c>
      <c r="C42" s="31" t="s">
        <v>3</v>
      </c>
      <c r="D42" s="47" t="s">
        <v>5</v>
      </c>
      <c r="E42" s="31" t="s">
        <v>39</v>
      </c>
      <c r="F42" s="48" t="s">
        <v>20</v>
      </c>
      <c r="G42" s="31" t="s">
        <v>40</v>
      </c>
      <c r="H42" s="32" t="s">
        <v>38</v>
      </c>
      <c r="I42" s="31" t="s">
        <v>1</v>
      </c>
      <c r="J42" s="31" t="s">
        <v>53</v>
      </c>
    </row>
    <row r="43" spans="1:10" s="2" customFormat="1" ht="15.75" x14ac:dyDescent="0.25">
      <c r="A43" s="49" t="s">
        <v>4</v>
      </c>
      <c r="B43" s="49">
        <v>2010</v>
      </c>
      <c r="C43" s="41" t="s">
        <v>34</v>
      </c>
      <c r="D43" s="50">
        <v>3840</v>
      </c>
      <c r="E43" s="35">
        <f>D43*15.5*1.3</f>
        <v>77376</v>
      </c>
      <c r="F43" s="50">
        <v>1920</v>
      </c>
      <c r="G43" s="35">
        <f>F43*25*1.3</f>
        <v>62400</v>
      </c>
      <c r="H43" s="35">
        <f>E43+G43</f>
        <v>139776</v>
      </c>
      <c r="I43" s="35">
        <v>120882</v>
      </c>
      <c r="J43" s="33">
        <f>H43/I43</f>
        <v>1.1563011862808359</v>
      </c>
    </row>
    <row r="44" spans="1:10" s="2" customFormat="1" ht="15.75" x14ac:dyDescent="0.25">
      <c r="A44" s="49"/>
      <c r="B44" s="49">
        <v>2008</v>
      </c>
      <c r="C44" s="41" t="s">
        <v>77</v>
      </c>
      <c r="D44" s="50">
        <v>3360</v>
      </c>
      <c r="E44" s="35">
        <f>D44*15.5*1.7</f>
        <v>88536</v>
      </c>
      <c r="F44" s="50">
        <v>1911</v>
      </c>
      <c r="G44" s="35">
        <f>F44*25*1.45</f>
        <v>69273.75</v>
      </c>
      <c r="H44" s="35">
        <f t="shared" ref="H44:H47" si="3">E44+G44</f>
        <v>157809.75</v>
      </c>
      <c r="I44" s="35">
        <v>98172</v>
      </c>
      <c r="J44" s="33">
        <f t="shared" ref="J44:J47" si="4">H44/I44</f>
        <v>1.6074822760053784</v>
      </c>
    </row>
    <row r="45" spans="1:10" s="2" customFormat="1" ht="15.75" x14ac:dyDescent="0.25">
      <c r="A45" s="49" t="s">
        <v>18</v>
      </c>
      <c r="B45" s="52">
        <v>2012</v>
      </c>
      <c r="C45" s="53" t="s">
        <v>21</v>
      </c>
      <c r="D45" s="50">
        <v>6000</v>
      </c>
      <c r="E45" s="35">
        <f>D45*15.5</f>
        <v>93000</v>
      </c>
      <c r="F45" s="50">
        <v>1650</v>
      </c>
      <c r="G45" s="35">
        <f t="shared" ref="G45" si="5">F45*25</f>
        <v>41250</v>
      </c>
      <c r="H45" s="35">
        <f t="shared" si="3"/>
        <v>134250</v>
      </c>
      <c r="I45" s="35">
        <v>152000</v>
      </c>
      <c r="J45" s="33">
        <f t="shared" si="4"/>
        <v>0.88322368421052633</v>
      </c>
    </row>
    <row r="46" spans="1:10" s="2" customFormat="1" ht="15.75" x14ac:dyDescent="0.25">
      <c r="A46" s="49"/>
      <c r="B46" s="52">
        <v>2010</v>
      </c>
      <c r="C46" s="53" t="s">
        <v>78</v>
      </c>
      <c r="D46" s="50">
        <v>5450</v>
      </c>
      <c r="E46" s="35">
        <f>D46*15.5*1.25</f>
        <v>105593.75</v>
      </c>
      <c r="F46" s="50">
        <v>1700</v>
      </c>
      <c r="G46" s="35">
        <f>F46*25*1.15</f>
        <v>48874.999999999993</v>
      </c>
      <c r="H46" s="35">
        <f t="shared" si="3"/>
        <v>154468.75</v>
      </c>
      <c r="I46" s="35">
        <v>99460</v>
      </c>
      <c r="J46" s="33">
        <f t="shared" si="4"/>
        <v>1.5530741001407602</v>
      </c>
    </row>
    <row r="47" spans="1:10" s="2" customFormat="1" ht="15.75" x14ac:dyDescent="0.25">
      <c r="A47" s="49"/>
      <c r="B47" s="52">
        <v>2012</v>
      </c>
      <c r="C47" s="53" t="s">
        <v>21</v>
      </c>
      <c r="D47" s="50">
        <v>4000</v>
      </c>
      <c r="E47" s="35">
        <f>D47*15.5</f>
        <v>62000</v>
      </c>
      <c r="F47" s="50">
        <v>2080</v>
      </c>
      <c r="G47" s="35">
        <f t="shared" ref="G47" si="6">F47*25</f>
        <v>52000</v>
      </c>
      <c r="H47" s="35">
        <f t="shared" si="3"/>
        <v>114000</v>
      </c>
      <c r="I47" s="35">
        <v>105982</v>
      </c>
      <c r="J47" s="33">
        <f t="shared" si="4"/>
        <v>1.0756543564001435</v>
      </c>
    </row>
    <row r="48" spans="1:10" s="2" customFormat="1" ht="15.75" x14ac:dyDescent="0.25">
      <c r="I48" s="35" t="s">
        <v>35</v>
      </c>
      <c r="J48" s="33">
        <f>MEDIAN(J43:J47)</f>
        <v>1.1563011862808359</v>
      </c>
    </row>
    <row r="49" spans="1:10" s="2" customFormat="1" ht="15.75" x14ac:dyDescent="0.25">
      <c r="I49" s="35" t="s">
        <v>36</v>
      </c>
      <c r="J49" s="33">
        <f>AVERAGE(J43:J47)</f>
        <v>1.2551471206075289</v>
      </c>
    </row>
    <row r="50" spans="1:10" s="2" customFormat="1" ht="15.75" x14ac:dyDescent="0.25">
      <c r="I50" s="45"/>
      <c r="J50" s="46"/>
    </row>
    <row r="51" spans="1:10" s="2" customFormat="1" ht="15.75" x14ac:dyDescent="0.25">
      <c r="A51" s="52" t="s">
        <v>76</v>
      </c>
      <c r="B51" s="52">
        <v>2013</v>
      </c>
      <c r="C51" s="52" t="s">
        <v>34</v>
      </c>
      <c r="D51" s="50">
        <v>5376</v>
      </c>
      <c r="E51" s="35">
        <f>D51*14.5*1.45</f>
        <v>113030.39999999999</v>
      </c>
      <c r="F51" s="50">
        <v>3072</v>
      </c>
      <c r="G51" s="35">
        <f>F51*25*1.3</f>
        <v>99840</v>
      </c>
      <c r="H51" s="35">
        <f>E51+G51</f>
        <v>212870.39999999999</v>
      </c>
      <c r="I51" s="35">
        <v>306000</v>
      </c>
      <c r="J51" s="33">
        <f t="shared" ref="J51" si="7">H51/I51</f>
        <v>0.69565490196078428</v>
      </c>
    </row>
    <row r="52" spans="1:10" s="2" customFormat="1" ht="15.75" x14ac:dyDescent="0.25">
      <c r="A52" s="59"/>
      <c r="B52" s="59"/>
      <c r="C52" s="59"/>
      <c r="D52" s="60"/>
      <c r="E52" s="45"/>
      <c r="F52" s="60"/>
      <c r="G52" s="45"/>
      <c r="H52" s="45"/>
      <c r="I52" s="45"/>
      <c r="J52" s="46"/>
    </row>
    <row r="53" spans="1:10" s="2" customFormat="1" ht="15.75" x14ac:dyDescent="0.25">
      <c r="A53" s="67"/>
      <c r="B53" s="68"/>
      <c r="C53" s="68"/>
      <c r="D53" s="68"/>
      <c r="E53" s="68"/>
      <c r="F53" s="68"/>
      <c r="G53" s="66"/>
    </row>
    <row r="54" spans="1:10" s="2" customFormat="1" ht="15.75" x14ac:dyDescent="0.25">
      <c r="A54" s="69"/>
      <c r="B54" s="66"/>
      <c r="C54" s="66"/>
      <c r="D54" s="66"/>
      <c r="E54" s="66"/>
      <c r="F54" s="66"/>
      <c r="G54" s="66"/>
    </row>
    <row r="55" spans="1:10" s="2" customFormat="1" ht="15.75" x14ac:dyDescent="0.25">
      <c r="A55" s="69"/>
      <c r="B55" s="66"/>
      <c r="C55" s="66"/>
      <c r="D55" s="66"/>
      <c r="E55" s="66"/>
      <c r="F55" s="66"/>
      <c r="G55" s="66"/>
    </row>
    <row r="56" spans="1:10" s="2" customFormat="1" ht="15.75" x14ac:dyDescent="0.25">
      <c r="A56" s="69"/>
      <c r="B56" s="66"/>
      <c r="C56" s="66"/>
      <c r="D56" s="66"/>
      <c r="E56" s="66"/>
      <c r="F56" s="66"/>
      <c r="G56" s="66"/>
    </row>
    <row r="57" spans="1:10" s="2" customFormat="1" ht="15.75" x14ac:dyDescent="0.25">
      <c r="A57" s="64"/>
      <c r="B57" s="66"/>
      <c r="C57" s="66"/>
      <c r="D57" s="66"/>
      <c r="E57" s="66"/>
      <c r="F57" s="66"/>
      <c r="G57" s="66"/>
    </row>
    <row r="58" spans="1:10" s="2" customFormat="1" ht="15.75" x14ac:dyDescent="0.25">
      <c r="A58" s="33" t="s">
        <v>41</v>
      </c>
      <c r="B58" s="65" t="s">
        <v>49</v>
      </c>
      <c r="C58" s="65" t="s">
        <v>43</v>
      </c>
      <c r="D58" s="65" t="s">
        <v>48</v>
      </c>
      <c r="E58" s="65" t="s">
        <v>44</v>
      </c>
      <c r="F58" s="65" t="s">
        <v>80</v>
      </c>
      <c r="G58" s="65" t="s">
        <v>45</v>
      </c>
      <c r="H58" s="65" t="s">
        <v>81</v>
      </c>
    </row>
    <row r="59" spans="1:10" ht="15.75" x14ac:dyDescent="0.25">
      <c r="A59" s="65" t="s">
        <v>42</v>
      </c>
      <c r="B59" s="33">
        <v>0.4</v>
      </c>
      <c r="C59" s="33">
        <v>0.55000000000000004</v>
      </c>
      <c r="D59" s="33">
        <v>0.75</v>
      </c>
      <c r="E59" s="33">
        <v>1</v>
      </c>
      <c r="F59" s="33">
        <v>1.4</v>
      </c>
      <c r="G59" s="33">
        <v>1.8</v>
      </c>
      <c r="H59" s="33">
        <v>2.25</v>
      </c>
    </row>
    <row r="60" spans="1:10" ht="15.75" x14ac:dyDescent="0.25">
      <c r="A60" s="65" t="s">
        <v>50</v>
      </c>
      <c r="B60" s="33">
        <v>0.7</v>
      </c>
      <c r="C60" s="33">
        <v>0.8</v>
      </c>
      <c r="D60" s="33">
        <v>0.9</v>
      </c>
      <c r="E60" s="33">
        <v>1</v>
      </c>
      <c r="F60" s="33">
        <v>1.4</v>
      </c>
      <c r="G60" s="33">
        <v>1.8</v>
      </c>
      <c r="H60" s="33">
        <v>2.25</v>
      </c>
    </row>
    <row r="62" spans="1:10" ht="15.75" x14ac:dyDescent="0.25">
      <c r="A62" s="33" t="s">
        <v>41</v>
      </c>
      <c r="B62" s="65" t="s">
        <v>84</v>
      </c>
      <c r="C62" s="65" t="s">
        <v>85</v>
      </c>
      <c r="D62" s="65" t="s">
        <v>83</v>
      </c>
      <c r="E62" s="65" t="s">
        <v>86</v>
      </c>
    </row>
    <row r="63" spans="1:10" ht="15.75" x14ac:dyDescent="0.25">
      <c r="A63" s="65" t="s">
        <v>42</v>
      </c>
      <c r="B63" s="33">
        <v>2.65</v>
      </c>
      <c r="C63" s="33">
        <v>3.05</v>
      </c>
      <c r="D63" s="33">
        <v>3.45</v>
      </c>
      <c r="E63" s="33">
        <v>3.85</v>
      </c>
    </row>
    <row r="64" spans="1:10" ht="15.75" x14ac:dyDescent="0.25">
      <c r="A64" s="65" t="s">
        <v>50</v>
      </c>
      <c r="B64" s="33">
        <v>2.65</v>
      </c>
      <c r="C64" s="33">
        <v>3.05</v>
      </c>
      <c r="D64" s="33">
        <v>3.45</v>
      </c>
      <c r="E64" s="33">
        <v>3.85</v>
      </c>
    </row>
    <row r="66" spans="1:10" s="2" customFormat="1" x14ac:dyDescent="0.25"/>
    <row r="67" spans="1:10" s="2" customFormat="1" x14ac:dyDescent="0.25"/>
    <row r="68" spans="1:10" s="2" customFormat="1" x14ac:dyDescent="0.25"/>
    <row r="69" spans="1:10" s="2" customFormat="1" x14ac:dyDescent="0.25"/>
    <row r="70" spans="1:10" s="2" customFormat="1" x14ac:dyDescent="0.25"/>
    <row r="71" spans="1:10" s="2" customFormat="1" x14ac:dyDescent="0.25"/>
    <row r="72" spans="1:10" s="2" customFormat="1" ht="15.75" x14ac:dyDescent="0.25">
      <c r="A72" s="30"/>
      <c r="B72" s="30"/>
      <c r="C72" s="30"/>
      <c r="D72" s="30"/>
      <c r="E72" s="32" t="s">
        <v>51</v>
      </c>
      <c r="F72" s="30"/>
      <c r="G72" s="32" t="s">
        <v>51</v>
      </c>
      <c r="H72" s="32" t="s">
        <v>51</v>
      </c>
      <c r="I72" s="30"/>
      <c r="J72" s="30"/>
    </row>
    <row r="73" spans="1:10" s="2" customFormat="1" ht="15.75" x14ac:dyDescent="0.25">
      <c r="A73" s="30"/>
      <c r="B73" s="30"/>
      <c r="C73" s="30"/>
      <c r="D73" s="31" t="s">
        <v>10</v>
      </c>
      <c r="E73" s="31" t="s">
        <v>38</v>
      </c>
      <c r="F73" s="31" t="s">
        <v>19</v>
      </c>
      <c r="G73" s="31" t="s">
        <v>38</v>
      </c>
      <c r="H73" s="31" t="s">
        <v>8</v>
      </c>
      <c r="I73" s="31" t="s">
        <v>52</v>
      </c>
      <c r="J73" s="30"/>
    </row>
    <row r="74" spans="1:10" s="2" customFormat="1" ht="15.75" x14ac:dyDescent="0.25">
      <c r="A74" s="31" t="s">
        <v>0</v>
      </c>
      <c r="B74" s="31" t="s">
        <v>12</v>
      </c>
      <c r="C74" s="31" t="s">
        <v>3</v>
      </c>
      <c r="D74" s="47" t="s">
        <v>5</v>
      </c>
      <c r="E74" s="31" t="s">
        <v>39</v>
      </c>
      <c r="F74" s="48" t="s">
        <v>20</v>
      </c>
      <c r="G74" s="31" t="s">
        <v>40</v>
      </c>
      <c r="H74" s="32" t="s">
        <v>38</v>
      </c>
      <c r="I74" s="31" t="s">
        <v>1</v>
      </c>
      <c r="J74" s="31" t="s">
        <v>53</v>
      </c>
    </row>
    <row r="75" spans="1:10" s="2" customFormat="1" ht="15.75" x14ac:dyDescent="0.25">
      <c r="A75" s="49" t="s">
        <v>4</v>
      </c>
      <c r="B75" s="49">
        <v>2010</v>
      </c>
      <c r="C75" s="41" t="s">
        <v>34</v>
      </c>
      <c r="D75" s="50">
        <v>3840</v>
      </c>
      <c r="E75" s="35">
        <f>D75*10.5*1.8</f>
        <v>72576</v>
      </c>
      <c r="F75" s="50">
        <v>1920</v>
      </c>
      <c r="G75" s="35">
        <f>F75*25*1.8</f>
        <v>86400</v>
      </c>
      <c r="H75" s="35">
        <f>E75+G75</f>
        <v>158976</v>
      </c>
      <c r="I75" s="35">
        <v>120882</v>
      </c>
      <c r="J75" s="33">
        <f>H75/I75</f>
        <v>1.3151337668139178</v>
      </c>
    </row>
    <row r="76" spans="1:10" s="2" customFormat="1" ht="15.75" x14ac:dyDescent="0.25">
      <c r="A76" s="49"/>
      <c r="B76" s="49">
        <v>2008</v>
      </c>
      <c r="C76" s="41" t="s">
        <v>77</v>
      </c>
      <c r="D76" s="50">
        <v>3360</v>
      </c>
      <c r="E76" s="35">
        <f>D76*10.5*2.25</f>
        <v>79380</v>
      </c>
      <c r="F76" s="50">
        <v>1911</v>
      </c>
      <c r="G76" s="35">
        <f>F76*25*2.25</f>
        <v>107493.75</v>
      </c>
      <c r="H76" s="35">
        <f t="shared" ref="H76:H79" si="8">E76+G76</f>
        <v>186873.75</v>
      </c>
      <c r="I76" s="35">
        <v>98172</v>
      </c>
      <c r="J76" s="33">
        <f t="shared" ref="J76:J79" si="9">H76/I76</f>
        <v>1.903534103410341</v>
      </c>
    </row>
    <row r="77" spans="1:10" ht="15.75" x14ac:dyDescent="0.25">
      <c r="A77" s="49" t="s">
        <v>18</v>
      </c>
      <c r="B77" s="52">
        <v>2012</v>
      </c>
      <c r="C77" s="53" t="s">
        <v>21</v>
      </c>
      <c r="D77" s="50">
        <v>6000</v>
      </c>
      <c r="E77" s="35">
        <f>D77*10.5</f>
        <v>63000</v>
      </c>
      <c r="F77" s="50">
        <v>1650</v>
      </c>
      <c r="G77" s="35">
        <f t="shared" ref="G77" si="10">F77*25</f>
        <v>41250</v>
      </c>
      <c r="H77" s="35">
        <f t="shared" si="8"/>
        <v>104250</v>
      </c>
      <c r="I77" s="35">
        <v>152000</v>
      </c>
      <c r="J77" s="33">
        <f t="shared" si="9"/>
        <v>0.68585526315789469</v>
      </c>
    </row>
    <row r="78" spans="1:10" ht="15.75" x14ac:dyDescent="0.25">
      <c r="A78" s="49"/>
      <c r="B78" s="52">
        <v>2010</v>
      </c>
      <c r="C78" s="53" t="s">
        <v>78</v>
      </c>
      <c r="D78" s="50">
        <v>5450</v>
      </c>
      <c r="E78" s="35">
        <f>D78*10.5*1.4</f>
        <v>80115</v>
      </c>
      <c r="F78" s="50">
        <v>1700</v>
      </c>
      <c r="G78" s="35">
        <f>F78*25*1.4</f>
        <v>59499.999999999993</v>
      </c>
      <c r="H78" s="35">
        <f t="shared" si="8"/>
        <v>139615</v>
      </c>
      <c r="I78" s="35">
        <v>99460</v>
      </c>
      <c r="J78" s="33">
        <f t="shared" si="9"/>
        <v>1.4037301427709632</v>
      </c>
    </row>
    <row r="79" spans="1:10" ht="15.75" x14ac:dyDescent="0.25">
      <c r="A79" s="49"/>
      <c r="B79" s="52">
        <v>2012</v>
      </c>
      <c r="C79" s="53" t="s">
        <v>21</v>
      </c>
      <c r="D79" s="50">
        <v>4000</v>
      </c>
      <c r="E79" s="35">
        <f>D79*10.5</f>
        <v>42000</v>
      </c>
      <c r="F79" s="50">
        <v>2080</v>
      </c>
      <c r="G79" s="35">
        <f t="shared" ref="G79" si="11">F79*25</f>
        <v>52000</v>
      </c>
      <c r="H79" s="35">
        <f t="shared" si="8"/>
        <v>94000</v>
      </c>
      <c r="I79" s="35">
        <v>105982</v>
      </c>
      <c r="J79" s="33">
        <f t="shared" si="9"/>
        <v>0.88694306580362703</v>
      </c>
    </row>
    <row r="80" spans="1:10" s="2" customFormat="1" ht="15.75" x14ac:dyDescent="0.25">
      <c r="I80" s="35" t="s">
        <v>35</v>
      </c>
      <c r="J80" s="33">
        <f>MEDIAN(J75:J79)</f>
        <v>1.3151337668139178</v>
      </c>
    </row>
    <row r="81" spans="1:10" s="2" customFormat="1" ht="15.75" x14ac:dyDescent="0.25">
      <c r="I81" s="35" t="s">
        <v>36</v>
      </c>
      <c r="J81" s="33">
        <f>AVERAGE(J75:J79)</f>
        <v>1.2390392683913487</v>
      </c>
    </row>
    <row r="82" spans="1:10" s="2" customFormat="1" ht="15.75" x14ac:dyDescent="0.25">
      <c r="I82" s="45"/>
      <c r="J82" s="46"/>
    </row>
    <row r="83" spans="1:10" s="2" customFormat="1" ht="15.75" x14ac:dyDescent="0.25">
      <c r="I83" s="45"/>
      <c r="J83" s="46"/>
    </row>
    <row r="84" spans="1:10" s="2" customFormat="1" ht="15.75" x14ac:dyDescent="0.25">
      <c r="I84" s="45"/>
      <c r="J84" s="46"/>
    </row>
    <row r="85" spans="1:10" s="2" customFormat="1" ht="15.75" x14ac:dyDescent="0.25">
      <c r="I85" s="45"/>
      <c r="J85" s="46"/>
    </row>
    <row r="86" spans="1:10" s="2" customFormat="1" ht="15.75" x14ac:dyDescent="0.25">
      <c r="I86" s="45"/>
      <c r="J86" s="46"/>
    </row>
    <row r="88" spans="1:10" ht="15.75" x14ac:dyDescent="0.25">
      <c r="A88" s="30"/>
      <c r="B88" s="30"/>
      <c r="C88" s="30"/>
      <c r="D88" s="30"/>
      <c r="E88" s="32" t="s">
        <v>51</v>
      </c>
      <c r="F88" s="30"/>
      <c r="G88" s="32" t="s">
        <v>51</v>
      </c>
      <c r="H88" s="32" t="s">
        <v>51</v>
      </c>
      <c r="I88" s="30"/>
      <c r="J88" s="30"/>
    </row>
    <row r="89" spans="1:10" s="2" customFormat="1" ht="15.75" x14ac:dyDescent="0.25">
      <c r="A89" s="30"/>
      <c r="B89" s="30"/>
      <c r="C89" s="30"/>
      <c r="D89" s="31" t="s">
        <v>10</v>
      </c>
      <c r="E89" s="31" t="s">
        <v>38</v>
      </c>
      <c r="F89" s="31" t="s">
        <v>19</v>
      </c>
      <c r="G89" s="31" t="s">
        <v>38</v>
      </c>
      <c r="H89" s="31" t="s">
        <v>8</v>
      </c>
      <c r="I89" s="31" t="s">
        <v>52</v>
      </c>
      <c r="J89" s="30"/>
    </row>
    <row r="90" spans="1:10" ht="15.75" x14ac:dyDescent="0.25">
      <c r="A90" s="31" t="s">
        <v>0</v>
      </c>
      <c r="B90" s="31" t="s">
        <v>12</v>
      </c>
      <c r="C90" s="31" t="s">
        <v>3</v>
      </c>
      <c r="D90" s="47" t="s">
        <v>5</v>
      </c>
      <c r="E90" s="31" t="s">
        <v>39</v>
      </c>
      <c r="F90" s="48" t="s">
        <v>20</v>
      </c>
      <c r="G90" s="31" t="s">
        <v>40</v>
      </c>
      <c r="H90" s="32" t="s">
        <v>38</v>
      </c>
      <c r="I90" s="31" t="s">
        <v>1</v>
      </c>
      <c r="J90" s="31" t="s">
        <v>53</v>
      </c>
    </row>
    <row r="91" spans="1:10" ht="15.75" x14ac:dyDescent="0.25">
      <c r="A91" s="49" t="s">
        <v>4</v>
      </c>
      <c r="B91" s="49">
        <v>2010</v>
      </c>
      <c r="C91" s="41" t="s">
        <v>34</v>
      </c>
      <c r="D91" s="50">
        <v>3840</v>
      </c>
      <c r="E91" s="35">
        <f>D91*10.5*1.3</f>
        <v>52416</v>
      </c>
      <c r="F91" s="50">
        <v>1920</v>
      </c>
      <c r="G91" s="35">
        <f>F91*25*1.3</f>
        <v>62400</v>
      </c>
      <c r="H91" s="35">
        <f>E91+G91</f>
        <v>114816</v>
      </c>
      <c r="I91" s="35">
        <v>120882</v>
      </c>
      <c r="J91" s="33">
        <f>H91/I91</f>
        <v>0.94981883158782943</v>
      </c>
    </row>
    <row r="92" spans="1:10" ht="15.75" x14ac:dyDescent="0.25">
      <c r="A92" s="49"/>
      <c r="B92" s="49">
        <v>2008</v>
      </c>
      <c r="C92" s="41" t="s">
        <v>77</v>
      </c>
      <c r="D92" s="50">
        <v>3360</v>
      </c>
      <c r="E92" s="35">
        <f>D92*10.5*1.7</f>
        <v>59976</v>
      </c>
      <c r="F92" s="50">
        <v>1911</v>
      </c>
      <c r="G92" s="35">
        <f>F92*25*1.45</f>
        <v>69273.75</v>
      </c>
      <c r="H92" s="35">
        <f>E92+G92</f>
        <v>129249.75</v>
      </c>
      <c r="I92" s="35">
        <v>98172</v>
      </c>
      <c r="J92" s="33">
        <f>H92/I92</f>
        <v>1.3165642953184207</v>
      </c>
    </row>
    <row r="93" spans="1:10" ht="15.75" x14ac:dyDescent="0.25">
      <c r="A93" s="49" t="s">
        <v>18</v>
      </c>
      <c r="B93" s="52">
        <v>2012</v>
      </c>
      <c r="C93" s="53" t="s">
        <v>21</v>
      </c>
      <c r="D93" s="50">
        <v>6000</v>
      </c>
      <c r="E93" s="35">
        <f>D93*10.5</f>
        <v>63000</v>
      </c>
      <c r="F93" s="50">
        <v>1650</v>
      </c>
      <c r="G93" s="35">
        <f>F93*25</f>
        <v>41250</v>
      </c>
      <c r="H93" s="35">
        <f>E93+G93</f>
        <v>104250</v>
      </c>
      <c r="I93" s="35">
        <v>152000</v>
      </c>
      <c r="J93" s="33">
        <f>H93/I93</f>
        <v>0.68585526315789469</v>
      </c>
    </row>
    <row r="94" spans="1:10" ht="15.75" x14ac:dyDescent="0.25">
      <c r="A94" s="49"/>
      <c r="B94" s="52">
        <v>2010</v>
      </c>
      <c r="C94" s="53" t="s">
        <v>78</v>
      </c>
      <c r="D94" s="50">
        <v>5450</v>
      </c>
      <c r="E94" s="35">
        <f>D94*10.5*1.25</f>
        <v>71531.25</v>
      </c>
      <c r="F94" s="50">
        <v>1700</v>
      </c>
      <c r="G94" s="35">
        <f>F94*25*1.15</f>
        <v>48874.999999999993</v>
      </c>
      <c r="H94" s="35">
        <f>E94+G94</f>
        <v>120406.25</v>
      </c>
      <c r="I94" s="35">
        <v>99460</v>
      </c>
      <c r="J94" s="33">
        <f>H94/I94</f>
        <v>1.2105997385883773</v>
      </c>
    </row>
    <row r="95" spans="1:10" ht="15.75" x14ac:dyDescent="0.25">
      <c r="A95" s="49"/>
      <c r="B95" s="52">
        <v>2012</v>
      </c>
      <c r="C95" s="53" t="s">
        <v>21</v>
      </c>
      <c r="D95" s="50">
        <v>4000</v>
      </c>
      <c r="E95" s="35">
        <f>D95*10.5</f>
        <v>42000</v>
      </c>
      <c r="F95" s="50">
        <v>2080</v>
      </c>
      <c r="G95" s="35">
        <f>F95*25</f>
        <v>52000</v>
      </c>
      <c r="H95" s="35">
        <f>E95+G95</f>
        <v>94000</v>
      </c>
      <c r="I95" s="35">
        <v>105982</v>
      </c>
      <c r="J95" s="33">
        <f>H95/I95</f>
        <v>0.88694306580362703</v>
      </c>
    </row>
    <row r="96" spans="1:10" ht="15.75" x14ac:dyDescent="0.25">
      <c r="A96" s="2"/>
      <c r="B96" s="2"/>
      <c r="D96" s="2"/>
      <c r="E96" s="2"/>
      <c r="F96" s="2"/>
      <c r="G96" s="2"/>
      <c r="H96" s="2"/>
      <c r="I96" s="35" t="s">
        <v>35</v>
      </c>
      <c r="J96" s="33">
        <f>MEDIAN(J91:J95)</f>
        <v>0.94981883158782943</v>
      </c>
    </row>
    <row r="97" spans="1:10" ht="15.75" x14ac:dyDescent="0.25">
      <c r="A97" s="2"/>
      <c r="B97" s="2"/>
      <c r="D97" s="2"/>
      <c r="E97" s="2"/>
      <c r="F97" s="2"/>
      <c r="G97" s="2"/>
      <c r="H97" s="2"/>
      <c r="I97" s="35" t="s">
        <v>36</v>
      </c>
      <c r="J97" s="33">
        <f>AVERAGE(J91:J95)</f>
        <v>1.0099562388912298</v>
      </c>
    </row>
    <row r="99" spans="1:10" x14ac:dyDescent="0.25">
      <c r="A99" s="2"/>
      <c r="B99" s="2"/>
      <c r="D99" s="2"/>
      <c r="E99" s="2"/>
      <c r="F99" s="2"/>
      <c r="G99" s="2"/>
      <c r="H99" s="2"/>
      <c r="I99" s="2"/>
      <c r="J99" s="2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workbookViewId="0">
      <selection activeCell="J14" sqref="J14"/>
    </sheetView>
  </sheetViews>
  <sheetFormatPr defaultRowHeight="15" x14ac:dyDescent="0.25"/>
  <sheetData>
    <row r="3" spans="1:8" x14ac:dyDescent="0.25">
      <c r="A3" s="12"/>
      <c r="B3" s="12"/>
      <c r="C3" s="12"/>
      <c r="D3" s="13"/>
      <c r="E3" s="13" t="s">
        <v>19</v>
      </c>
      <c r="F3" s="13" t="s">
        <v>11</v>
      </c>
      <c r="G3" s="13" t="s">
        <v>14</v>
      </c>
      <c r="H3" s="70"/>
    </row>
    <row r="4" spans="1:8" x14ac:dyDescent="0.25">
      <c r="A4" s="13" t="s">
        <v>0</v>
      </c>
      <c r="B4" s="13" t="s">
        <v>12</v>
      </c>
      <c r="C4" s="14" t="s">
        <v>5</v>
      </c>
      <c r="D4" s="15" t="s">
        <v>7</v>
      </c>
      <c r="E4" s="15" t="s">
        <v>20</v>
      </c>
      <c r="F4" s="15" t="s">
        <v>9</v>
      </c>
      <c r="G4" s="13" t="s">
        <v>3</v>
      </c>
      <c r="H4" s="71"/>
    </row>
    <row r="5" spans="1:8" x14ac:dyDescent="0.25">
      <c r="A5" s="16" t="s">
        <v>4</v>
      </c>
      <c r="B5" s="16">
        <v>2010</v>
      </c>
      <c r="C5" s="17">
        <v>3840</v>
      </c>
      <c r="D5" s="18">
        <v>40222</v>
      </c>
      <c r="E5" s="17">
        <v>1920</v>
      </c>
      <c r="F5" s="19">
        <f>D5/E5</f>
        <v>20.948958333333334</v>
      </c>
      <c r="G5" s="20" t="s">
        <v>34</v>
      </c>
      <c r="H5" s="72"/>
    </row>
    <row r="6" spans="1:8" x14ac:dyDescent="0.25">
      <c r="A6" s="16" t="s">
        <v>18</v>
      </c>
      <c r="B6" s="16">
        <v>2012</v>
      </c>
      <c r="C6" s="17">
        <v>6000</v>
      </c>
      <c r="D6" s="18">
        <v>60000</v>
      </c>
      <c r="E6" s="17">
        <v>1650</v>
      </c>
      <c r="F6" s="19">
        <f t="shared" ref="F6:F8" si="0">D6/E6</f>
        <v>36.363636363636367</v>
      </c>
      <c r="G6" s="20" t="s">
        <v>21</v>
      </c>
      <c r="H6" s="72"/>
    </row>
    <row r="7" spans="1:8" x14ac:dyDescent="0.25">
      <c r="A7" s="16"/>
      <c r="B7" s="16">
        <v>2010</v>
      </c>
      <c r="C7" s="17">
        <v>5450</v>
      </c>
      <c r="D7" s="18">
        <v>43719</v>
      </c>
      <c r="E7" s="17">
        <v>1700</v>
      </c>
      <c r="F7" s="19">
        <f t="shared" si="0"/>
        <v>25.717058823529413</v>
      </c>
      <c r="G7" s="20" t="s">
        <v>15</v>
      </c>
      <c r="H7" s="72"/>
    </row>
    <row r="8" spans="1:8" x14ac:dyDescent="0.25">
      <c r="A8" s="16"/>
      <c r="B8" s="16">
        <v>2012</v>
      </c>
      <c r="C8" s="17">
        <v>4000</v>
      </c>
      <c r="D8" s="18">
        <v>51000</v>
      </c>
      <c r="E8" s="17">
        <v>2080</v>
      </c>
      <c r="F8" s="19">
        <f t="shared" si="0"/>
        <v>24.51923076923077</v>
      </c>
      <c r="G8" s="20" t="s">
        <v>21</v>
      </c>
      <c r="H8" s="72"/>
    </row>
    <row r="9" spans="1:8" x14ac:dyDescent="0.25">
      <c r="A9" s="12"/>
      <c r="B9" s="12"/>
      <c r="C9" s="12"/>
      <c r="D9" s="12"/>
      <c r="E9" s="12" t="s">
        <v>35</v>
      </c>
      <c r="F9" s="21">
        <f>MEDIAN(F5:F8)</f>
        <v>25.118144796380093</v>
      </c>
      <c r="G9" s="12"/>
      <c r="H9" s="70"/>
    </row>
    <row r="10" spans="1:8" x14ac:dyDescent="0.25">
      <c r="A10" s="12"/>
      <c r="B10" s="12"/>
      <c r="C10" s="12"/>
      <c r="D10" s="12"/>
      <c r="E10" s="12" t="s">
        <v>36</v>
      </c>
      <c r="F10" s="21">
        <f>AVERAGE(F5:F8)</f>
        <v>26.887221072432471</v>
      </c>
      <c r="G10" s="12"/>
      <c r="H10" s="70"/>
    </row>
    <row r="11" spans="1:8" x14ac:dyDescent="0.25">
      <c r="H11" s="70"/>
    </row>
    <row r="16" spans="1:8" x14ac:dyDescent="0.25">
      <c r="D16" s="13"/>
      <c r="E16" s="13" t="s">
        <v>19</v>
      </c>
      <c r="F16" s="13" t="s">
        <v>11</v>
      </c>
      <c r="G16" s="13" t="s">
        <v>14</v>
      </c>
    </row>
    <row r="17" spans="4:7" x14ac:dyDescent="0.25">
      <c r="D17" s="15" t="s">
        <v>7</v>
      </c>
      <c r="E17" s="15" t="s">
        <v>20</v>
      </c>
      <c r="F17" s="15" t="s">
        <v>9</v>
      </c>
      <c r="G17" s="13" t="s">
        <v>3</v>
      </c>
    </row>
    <row r="18" spans="4:7" x14ac:dyDescent="0.25">
      <c r="D18" s="18">
        <v>35551</v>
      </c>
      <c r="E18" s="22">
        <v>1500</v>
      </c>
      <c r="F18" s="19">
        <f t="shared" ref="F18:F21" si="1">D18/E18</f>
        <v>23.700666666666667</v>
      </c>
      <c r="G18" s="20" t="s">
        <v>21</v>
      </c>
    </row>
    <row r="19" spans="4:7" x14ac:dyDescent="0.25">
      <c r="D19" s="18">
        <v>10650</v>
      </c>
      <c r="E19" s="12">
        <v>540</v>
      </c>
      <c r="F19" s="19">
        <f t="shared" si="1"/>
        <v>19.722222222222221</v>
      </c>
      <c r="G19" s="20" t="s">
        <v>21</v>
      </c>
    </row>
    <row r="20" spans="4:7" x14ac:dyDescent="0.25">
      <c r="D20" s="18">
        <v>20558</v>
      </c>
      <c r="E20" s="12">
        <v>800</v>
      </c>
      <c r="F20" s="19">
        <f t="shared" si="1"/>
        <v>25.697500000000002</v>
      </c>
      <c r="G20" s="20" t="s">
        <v>21</v>
      </c>
    </row>
    <row r="21" spans="4:7" x14ac:dyDescent="0.25">
      <c r="D21" s="18">
        <v>43413</v>
      </c>
      <c r="E21" s="22">
        <v>1500</v>
      </c>
      <c r="F21" s="19">
        <f t="shared" si="1"/>
        <v>28.942</v>
      </c>
      <c r="G21" s="20" t="s">
        <v>21</v>
      </c>
    </row>
    <row r="22" spans="4:7" x14ac:dyDescent="0.25">
      <c r="D22" s="12"/>
      <c r="E22" s="12" t="s">
        <v>35</v>
      </c>
      <c r="F22" s="21">
        <f>MEDIAN(F18:F21)</f>
        <v>24.699083333333334</v>
      </c>
      <c r="G22" s="12"/>
    </row>
    <row r="23" spans="4:7" x14ac:dyDescent="0.25">
      <c r="D23" s="12"/>
      <c r="E23" s="12" t="s">
        <v>36</v>
      </c>
      <c r="F23" s="21">
        <f>AVERAGE(F18:F21)</f>
        <v>24.515597222222226</v>
      </c>
      <c r="G23" s="1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3"/>
  <sheetViews>
    <sheetView topLeftCell="A13" workbookViewId="0">
      <selection activeCell="J33" sqref="J33"/>
    </sheetView>
  </sheetViews>
  <sheetFormatPr defaultRowHeight="15" x14ac:dyDescent="0.25"/>
  <cols>
    <col min="1" max="1" width="5.5703125" customWidth="1"/>
    <col min="2" max="2" width="9.28515625" bestFit="1" customWidth="1"/>
    <col min="3" max="3" width="10" bestFit="1" customWidth="1"/>
    <col min="4" max="4" width="6.85546875" customWidth="1"/>
    <col min="5" max="5" width="10" bestFit="1" customWidth="1"/>
    <col min="6" max="6" width="9.42578125" customWidth="1"/>
    <col min="7" max="7" width="10" bestFit="1" customWidth="1"/>
    <col min="8" max="8" width="7" bestFit="1" customWidth="1"/>
    <col min="9" max="9" width="10.7109375" bestFit="1" customWidth="1"/>
    <col min="10" max="10" width="10" bestFit="1" customWidth="1"/>
  </cols>
  <sheetData>
    <row r="3" spans="1:11" s="2" customFormat="1" x14ac:dyDescent="0.25"/>
    <row r="5" spans="1:11" s="2" customFormat="1" x14ac:dyDescent="0.25"/>
    <row r="6" spans="1:11" x14ac:dyDescent="0.25">
      <c r="A6" s="3" t="s">
        <v>0</v>
      </c>
      <c r="B6" s="3" t="s">
        <v>54</v>
      </c>
      <c r="C6" s="3" t="s">
        <v>62</v>
      </c>
      <c r="D6" s="3" t="s">
        <v>56</v>
      </c>
      <c r="E6" s="3" t="s">
        <v>60</v>
      </c>
      <c r="F6" s="3" t="s">
        <v>61</v>
      </c>
      <c r="G6" s="3" t="s">
        <v>59</v>
      </c>
      <c r="H6" s="3" t="s">
        <v>5</v>
      </c>
      <c r="I6" s="3" t="s">
        <v>3</v>
      </c>
      <c r="J6" s="3" t="s">
        <v>58</v>
      </c>
      <c r="K6" s="3" t="s">
        <v>53</v>
      </c>
    </row>
    <row r="7" spans="1:11" x14ac:dyDescent="0.25">
      <c r="A7" s="2" t="s">
        <v>4</v>
      </c>
      <c r="B7" s="2">
        <v>2011</v>
      </c>
      <c r="C7" s="38">
        <v>162500</v>
      </c>
      <c r="D7" s="2">
        <v>2003</v>
      </c>
      <c r="E7" s="38">
        <v>98760</v>
      </c>
      <c r="F7" s="38"/>
      <c r="G7" s="38">
        <f t="shared" ref="G7:G31" si="0">C7-E7-F7</f>
        <v>63740</v>
      </c>
      <c r="H7" s="37">
        <v>1425</v>
      </c>
      <c r="I7" s="7" t="s">
        <v>21</v>
      </c>
      <c r="J7" s="38">
        <f>(H7*15.5+H7*25)*0.88</f>
        <v>50787</v>
      </c>
      <c r="K7" s="40">
        <f>J7/G7</f>
        <v>0.79678380922497649</v>
      </c>
    </row>
    <row r="8" spans="1:11" x14ac:dyDescent="0.25">
      <c r="A8" s="2"/>
      <c r="B8" s="2">
        <v>2011</v>
      </c>
      <c r="C8" s="38">
        <v>129000</v>
      </c>
      <c r="D8" s="2">
        <v>2006</v>
      </c>
      <c r="E8" s="38">
        <v>49290</v>
      </c>
      <c r="F8" s="38"/>
      <c r="G8" s="38">
        <f t="shared" si="0"/>
        <v>79710</v>
      </c>
      <c r="H8" s="37">
        <v>1400</v>
      </c>
      <c r="I8" s="7" t="s">
        <v>78</v>
      </c>
      <c r="J8" s="38">
        <f>+(H8*15.5*1.25+H8*25*1.15)*0.94</f>
        <v>63332.5</v>
      </c>
      <c r="K8" s="40">
        <f t="shared" ref="K8:K31" si="1">J8/G8</f>
        <v>0.79453644461171746</v>
      </c>
    </row>
    <row r="9" spans="1:11" x14ac:dyDescent="0.25">
      <c r="A9" s="2"/>
      <c r="B9" s="2">
        <v>2011</v>
      </c>
      <c r="C9" s="38">
        <v>266000</v>
      </c>
      <c r="D9" s="2">
        <v>1999</v>
      </c>
      <c r="E9" s="38">
        <v>131900</v>
      </c>
      <c r="F9" s="38">
        <v>10200</v>
      </c>
      <c r="G9" s="38">
        <f t="shared" si="0"/>
        <v>123900</v>
      </c>
      <c r="H9" s="37">
        <v>900</v>
      </c>
      <c r="I9" s="7" t="s">
        <v>21</v>
      </c>
      <c r="J9" s="38">
        <f>(H9*15.5+H9*25)*0.8</f>
        <v>29160</v>
      </c>
      <c r="K9" s="40">
        <f t="shared" si="1"/>
        <v>0.23535108958837772</v>
      </c>
    </row>
    <row r="10" spans="1:11" x14ac:dyDescent="0.25">
      <c r="A10" s="2"/>
      <c r="B10" s="2">
        <v>2010</v>
      </c>
      <c r="C10" s="38">
        <v>70000</v>
      </c>
      <c r="D10" s="2">
        <v>2001</v>
      </c>
      <c r="E10" s="38">
        <v>12800</v>
      </c>
      <c r="F10" s="38">
        <v>9720</v>
      </c>
      <c r="G10" s="38">
        <f t="shared" si="0"/>
        <v>47480</v>
      </c>
      <c r="H10" s="37">
        <v>1260</v>
      </c>
      <c r="I10" s="7" t="s">
        <v>21</v>
      </c>
      <c r="J10" s="38">
        <f>(H10*15.5+H10*25)*0.84</f>
        <v>42865.2</v>
      </c>
      <c r="K10" s="40">
        <f t="shared" si="1"/>
        <v>0.90280539174389207</v>
      </c>
    </row>
    <row r="11" spans="1:11" x14ac:dyDescent="0.25">
      <c r="A11" s="2"/>
      <c r="B11" s="2">
        <v>2010</v>
      </c>
      <c r="C11" s="38">
        <v>170500</v>
      </c>
      <c r="D11" s="2">
        <v>2005</v>
      </c>
      <c r="E11" s="38">
        <v>40600</v>
      </c>
      <c r="F11" s="38">
        <v>1300</v>
      </c>
      <c r="G11" s="38">
        <f t="shared" si="0"/>
        <v>128600</v>
      </c>
      <c r="H11" s="37">
        <v>1800</v>
      </c>
      <c r="I11" s="7" t="s">
        <v>21</v>
      </c>
      <c r="J11" s="38">
        <f>(H11*15.5+H11*25)*0.91</f>
        <v>66339</v>
      </c>
      <c r="K11" s="40">
        <f t="shared" si="1"/>
        <v>0.51585536547433908</v>
      </c>
    </row>
    <row r="12" spans="1:11" x14ac:dyDescent="0.25">
      <c r="A12" s="2" t="s">
        <v>18</v>
      </c>
      <c r="B12" s="2">
        <v>2012</v>
      </c>
      <c r="C12" s="38">
        <v>201250</v>
      </c>
      <c r="D12" s="2">
        <v>2006</v>
      </c>
      <c r="E12" s="38">
        <v>55590</v>
      </c>
      <c r="F12" s="38">
        <v>9230</v>
      </c>
      <c r="G12" s="38">
        <f t="shared" si="0"/>
        <v>136430</v>
      </c>
      <c r="H12" s="37">
        <v>900</v>
      </c>
      <c r="I12" s="7" t="s">
        <v>57</v>
      </c>
      <c r="J12" s="38">
        <f>+(H12*15.5*0.75+H12*25*0.9)*0.93</f>
        <v>28562.625</v>
      </c>
      <c r="K12" s="40">
        <f t="shared" si="1"/>
        <v>0.20935736275012828</v>
      </c>
    </row>
    <row r="13" spans="1:11" x14ac:dyDescent="0.25">
      <c r="A13" s="2"/>
      <c r="B13" s="2">
        <v>2011</v>
      </c>
      <c r="C13" s="38">
        <v>169000</v>
      </c>
      <c r="D13" s="2">
        <v>2005</v>
      </c>
      <c r="E13" s="38">
        <v>60500</v>
      </c>
      <c r="F13" s="38">
        <v>21133</v>
      </c>
      <c r="G13" s="38">
        <f t="shared" si="0"/>
        <v>87367</v>
      </c>
      <c r="H13" s="37">
        <v>750</v>
      </c>
      <c r="I13" s="7" t="s">
        <v>21</v>
      </c>
      <c r="J13" s="38">
        <f>(H13*15.5+H13*25)*0.91</f>
        <v>27641.25</v>
      </c>
      <c r="K13" s="40">
        <f t="shared" si="1"/>
        <v>0.31638089896642896</v>
      </c>
    </row>
    <row r="14" spans="1:11" x14ac:dyDescent="0.25">
      <c r="A14" s="2"/>
      <c r="B14" s="36">
        <v>2008</v>
      </c>
      <c r="C14" s="38">
        <v>110000</v>
      </c>
      <c r="D14" s="2">
        <v>2007</v>
      </c>
      <c r="E14" s="38">
        <v>73000</v>
      </c>
      <c r="F14" s="38">
        <v>10800</v>
      </c>
      <c r="G14" s="38">
        <f t="shared" si="0"/>
        <v>26200</v>
      </c>
      <c r="H14" s="37">
        <v>600</v>
      </c>
      <c r="I14" s="7" t="s">
        <v>21</v>
      </c>
      <c r="J14" s="38">
        <f>(H14*15.5+H14*25)*0.95</f>
        <v>23085</v>
      </c>
      <c r="K14" s="40">
        <f t="shared" si="1"/>
        <v>0.88110687022900769</v>
      </c>
    </row>
    <row r="15" spans="1:11" x14ac:dyDescent="0.25">
      <c r="A15" s="2"/>
      <c r="B15" s="36">
        <v>2010</v>
      </c>
      <c r="C15" s="38">
        <v>106000</v>
      </c>
      <c r="D15" s="2">
        <v>2007</v>
      </c>
      <c r="E15" s="38">
        <v>73000</v>
      </c>
      <c r="F15" s="38">
        <v>10800</v>
      </c>
      <c r="G15" s="38">
        <f t="shared" si="0"/>
        <v>22200</v>
      </c>
      <c r="H15" s="37">
        <v>600</v>
      </c>
      <c r="I15" s="7" t="s">
        <v>21</v>
      </c>
      <c r="J15" s="38">
        <f>(H15*15.5+H15*25)*0.95</f>
        <v>23085</v>
      </c>
      <c r="K15" s="40">
        <f t="shared" si="1"/>
        <v>1.039864864864865</v>
      </c>
    </row>
    <row r="16" spans="1:11" x14ac:dyDescent="0.25">
      <c r="A16" s="2"/>
      <c r="B16" s="36">
        <v>2008</v>
      </c>
      <c r="C16" s="38">
        <v>87500</v>
      </c>
      <c r="D16" s="2">
        <v>2001</v>
      </c>
      <c r="E16" s="38">
        <v>36400</v>
      </c>
      <c r="F16" s="38">
        <v>11076</v>
      </c>
      <c r="G16" s="38">
        <f t="shared" si="0"/>
        <v>40024</v>
      </c>
      <c r="H16" s="37">
        <v>900</v>
      </c>
      <c r="I16" s="7" t="s">
        <v>21</v>
      </c>
      <c r="J16" s="38">
        <f>(H16*14.5+H16*25)*0.84</f>
        <v>29862</v>
      </c>
      <c r="K16" s="40">
        <f t="shared" si="1"/>
        <v>0.74610233859684194</v>
      </c>
    </row>
    <row r="17" spans="1:11" x14ac:dyDescent="0.25">
      <c r="A17" s="2"/>
      <c r="B17" s="36">
        <v>2012</v>
      </c>
      <c r="C17" s="38">
        <v>115000</v>
      </c>
      <c r="D17" s="2">
        <v>2001</v>
      </c>
      <c r="E17" s="38">
        <v>36400</v>
      </c>
      <c r="F17" s="38">
        <v>11076</v>
      </c>
      <c r="G17" s="38">
        <f t="shared" si="0"/>
        <v>67524</v>
      </c>
      <c r="H17" s="37">
        <v>900</v>
      </c>
      <c r="I17" s="7" t="s">
        <v>21</v>
      </c>
      <c r="J17" s="38">
        <f>(H17*15.5+H17*25)*0.84</f>
        <v>30618</v>
      </c>
      <c r="K17" s="40">
        <f t="shared" si="1"/>
        <v>0.45343877732361826</v>
      </c>
    </row>
    <row r="18" spans="1:11" x14ac:dyDescent="0.25">
      <c r="A18" s="2"/>
      <c r="B18" s="2">
        <v>2012</v>
      </c>
      <c r="C18" s="38">
        <v>60000</v>
      </c>
      <c r="D18" s="2">
        <v>2004</v>
      </c>
      <c r="E18" s="38">
        <v>30000</v>
      </c>
      <c r="F18" s="38">
        <v>9467</v>
      </c>
      <c r="G18" s="38">
        <f t="shared" si="0"/>
        <v>20533</v>
      </c>
      <c r="H18" s="37">
        <v>1260</v>
      </c>
      <c r="I18" s="7" t="s">
        <v>57</v>
      </c>
      <c r="J18" s="38">
        <f>+(H18*15.5*0.75+H18*25*0.9)*0.9</f>
        <v>38697.75</v>
      </c>
      <c r="K18" s="40">
        <f t="shared" si="1"/>
        <v>1.8846612769687821</v>
      </c>
    </row>
    <row r="19" spans="1:11" x14ac:dyDescent="0.25">
      <c r="A19" s="2"/>
      <c r="B19" s="2">
        <v>2011</v>
      </c>
      <c r="C19" s="38">
        <v>125000</v>
      </c>
      <c r="D19" s="2">
        <v>2006</v>
      </c>
      <c r="E19" s="38">
        <v>62000</v>
      </c>
      <c r="F19" s="38">
        <v>16006</v>
      </c>
      <c r="G19" s="38">
        <f t="shared" si="0"/>
        <v>46994</v>
      </c>
      <c r="H19" s="37">
        <v>1200</v>
      </c>
      <c r="I19" s="7" t="s">
        <v>21</v>
      </c>
      <c r="J19" s="38">
        <f>(H19*15.5+H19*25)*0.93</f>
        <v>45198</v>
      </c>
      <c r="K19" s="40">
        <f t="shared" si="1"/>
        <v>0.96178235519428013</v>
      </c>
    </row>
    <row r="20" spans="1:11" x14ac:dyDescent="0.25">
      <c r="A20" s="2"/>
      <c r="B20" s="2">
        <v>2010</v>
      </c>
      <c r="C20" s="38">
        <v>158900</v>
      </c>
      <c r="D20" s="2">
        <v>2008</v>
      </c>
      <c r="E20" s="38">
        <v>37803</v>
      </c>
      <c r="F20" s="38">
        <v>27088</v>
      </c>
      <c r="G20" s="38">
        <f t="shared" si="0"/>
        <v>94009</v>
      </c>
      <c r="H20" s="37">
        <v>2016</v>
      </c>
      <c r="I20" s="7" t="s">
        <v>78</v>
      </c>
      <c r="J20" s="38">
        <f>+(H20*15.5*1.25+H20*25*1.15)*0.96</f>
        <v>93139.199999999997</v>
      </c>
      <c r="K20" s="40">
        <f t="shared" si="1"/>
        <v>0.99074769436968801</v>
      </c>
    </row>
    <row r="21" spans="1:11" x14ac:dyDescent="0.25">
      <c r="A21" s="2"/>
      <c r="B21" s="2">
        <v>2010</v>
      </c>
      <c r="C21" s="38">
        <v>195000</v>
      </c>
      <c r="D21" s="2">
        <v>2006</v>
      </c>
      <c r="E21" s="38">
        <v>31000</v>
      </c>
      <c r="F21" s="38">
        <v>24153</v>
      </c>
      <c r="G21" s="38">
        <f t="shared" si="0"/>
        <v>139847</v>
      </c>
      <c r="H21" s="37">
        <v>2077</v>
      </c>
      <c r="I21" s="7" t="s">
        <v>78</v>
      </c>
      <c r="J21" s="38">
        <f>+(H21*15.5*1.25+H21*25*1.15)*0.91</f>
        <v>90959.618750000009</v>
      </c>
      <c r="K21" s="40">
        <f t="shared" si="1"/>
        <v>0.65042238124521801</v>
      </c>
    </row>
    <row r="22" spans="1:11" x14ac:dyDescent="0.25">
      <c r="A22" s="2"/>
      <c r="B22" s="2">
        <v>2012</v>
      </c>
      <c r="C22" s="38">
        <v>239000</v>
      </c>
      <c r="D22" s="2">
        <v>2004</v>
      </c>
      <c r="E22" s="38">
        <v>14950</v>
      </c>
      <c r="F22" s="38">
        <v>49124</v>
      </c>
      <c r="G22" s="38">
        <f t="shared" si="0"/>
        <v>174926</v>
      </c>
      <c r="H22" s="37">
        <v>2074</v>
      </c>
      <c r="I22" s="7" t="s">
        <v>34</v>
      </c>
      <c r="J22" s="38">
        <f>+(H22*15.5*1.45+H22*25*1.3)*0.92</f>
        <v>104896.698</v>
      </c>
      <c r="K22" s="40">
        <f t="shared" si="1"/>
        <v>0.59966327475618264</v>
      </c>
    </row>
    <row r="23" spans="1:11" x14ac:dyDescent="0.25">
      <c r="A23" s="2"/>
      <c r="B23" s="2">
        <v>2011</v>
      </c>
      <c r="C23" s="38">
        <v>263000</v>
      </c>
      <c r="D23" s="2">
        <v>2007</v>
      </c>
      <c r="E23" s="38">
        <v>21845</v>
      </c>
      <c r="F23" s="38">
        <v>50280</v>
      </c>
      <c r="G23" s="38">
        <f t="shared" si="0"/>
        <v>190875</v>
      </c>
      <c r="H23" s="37">
        <v>1805</v>
      </c>
      <c r="I23" s="7" t="s">
        <v>34</v>
      </c>
      <c r="J23" s="38">
        <f>+(H23*15.5*1.45+H23*25*1.3)*0.96</f>
        <v>95260.68</v>
      </c>
      <c r="K23" s="40">
        <f t="shared" si="1"/>
        <v>0.49907363457760312</v>
      </c>
    </row>
    <row r="24" spans="1:11" x14ac:dyDescent="0.25">
      <c r="A24" s="2"/>
      <c r="B24" s="2">
        <v>2010</v>
      </c>
      <c r="C24" s="38">
        <v>315000</v>
      </c>
      <c r="D24" s="2">
        <v>2006</v>
      </c>
      <c r="E24" s="38">
        <v>18452</v>
      </c>
      <c r="F24" s="38">
        <v>43299</v>
      </c>
      <c r="G24" s="38">
        <f t="shared" si="0"/>
        <v>253249</v>
      </c>
      <c r="H24" s="37">
        <v>1696</v>
      </c>
      <c r="I24" s="7" t="s">
        <v>34</v>
      </c>
      <c r="J24" s="38">
        <f>+(H24*15.5*1.45+H24*25*1.3)*0.94</f>
        <v>87643.343999999997</v>
      </c>
      <c r="K24" s="40">
        <f t="shared" si="1"/>
        <v>0.34607577522517363</v>
      </c>
    </row>
    <row r="25" spans="1:11" x14ac:dyDescent="0.25">
      <c r="A25" s="2"/>
      <c r="B25" s="2">
        <v>2010</v>
      </c>
      <c r="C25" s="38">
        <v>335000</v>
      </c>
      <c r="D25" s="2">
        <v>2000</v>
      </c>
      <c r="E25" s="38">
        <v>124850</v>
      </c>
      <c r="F25" s="38">
        <v>2916</v>
      </c>
      <c r="G25" s="38">
        <f t="shared" si="0"/>
        <v>207234</v>
      </c>
      <c r="H25" s="37">
        <v>864</v>
      </c>
      <c r="I25" s="7" t="s">
        <v>21</v>
      </c>
      <c r="J25" s="38">
        <f>(H25*15.5+H25*25)*0.82</f>
        <v>28693.439999999999</v>
      </c>
      <c r="K25" s="40">
        <f t="shared" si="1"/>
        <v>0.1384591331538261</v>
      </c>
    </row>
    <row r="26" spans="1:11" x14ac:dyDescent="0.25">
      <c r="A26" s="2"/>
      <c r="B26" s="2">
        <v>2011</v>
      </c>
      <c r="C26" s="38">
        <v>475000</v>
      </c>
      <c r="D26" s="2">
        <v>2007</v>
      </c>
      <c r="E26" s="38">
        <v>204085</v>
      </c>
      <c r="F26" s="38">
        <v>14583</v>
      </c>
      <c r="G26" s="38">
        <f t="shared" si="0"/>
        <v>256332</v>
      </c>
      <c r="H26" s="37">
        <v>1600</v>
      </c>
      <c r="I26" s="7" t="s">
        <v>78</v>
      </c>
      <c r="J26" s="38">
        <f>+(H26*15.5*1.25+H26*25*1.15)*0.95</f>
        <v>73150</v>
      </c>
      <c r="K26" s="40">
        <f t="shared" si="1"/>
        <v>0.28537209556356602</v>
      </c>
    </row>
    <row r="27" spans="1:11" x14ac:dyDescent="0.25">
      <c r="A27" s="2"/>
      <c r="B27" s="2">
        <v>2011</v>
      </c>
      <c r="C27" s="38">
        <v>607500</v>
      </c>
      <c r="D27" s="2">
        <v>1996</v>
      </c>
      <c r="E27" s="38">
        <v>35154</v>
      </c>
      <c r="F27" s="38">
        <v>37670</v>
      </c>
      <c r="G27" s="38">
        <f t="shared" si="0"/>
        <v>534676</v>
      </c>
      <c r="H27" s="37">
        <v>4120</v>
      </c>
      <c r="I27" s="7" t="s">
        <v>77</v>
      </c>
      <c r="J27" s="38">
        <f>+(H27*15.5*1.7+H27*25*1.45)*0.7</f>
        <v>180538.4</v>
      </c>
      <c r="K27" s="40">
        <f t="shared" si="1"/>
        <v>0.33765944235387413</v>
      </c>
    </row>
    <row r="28" spans="1:11" x14ac:dyDescent="0.25">
      <c r="A28" s="2"/>
      <c r="B28" s="2">
        <v>2010</v>
      </c>
      <c r="C28" s="38">
        <v>870000</v>
      </c>
      <c r="D28" s="2">
        <v>2004</v>
      </c>
      <c r="E28" s="38">
        <v>520117</v>
      </c>
      <c r="F28" s="38">
        <v>13748</v>
      </c>
      <c r="G28" s="38">
        <f t="shared" si="0"/>
        <v>336135</v>
      </c>
      <c r="H28" s="37">
        <v>2850</v>
      </c>
      <c r="I28" s="7" t="s">
        <v>21</v>
      </c>
      <c r="J28" s="38">
        <f>(H28*15.5+H28*25)*0.9</f>
        <v>103882.5</v>
      </c>
      <c r="K28" s="40">
        <f t="shared" si="1"/>
        <v>0.30904993529385516</v>
      </c>
    </row>
    <row r="29" spans="1:11" x14ac:dyDescent="0.25">
      <c r="A29" s="2" t="s">
        <v>55</v>
      </c>
      <c r="B29" s="2">
        <v>2010</v>
      </c>
      <c r="C29" s="38">
        <v>78000</v>
      </c>
      <c r="D29" s="2">
        <v>2001</v>
      </c>
      <c r="E29" s="38">
        <v>25000</v>
      </c>
      <c r="F29" s="38">
        <v>31084</v>
      </c>
      <c r="G29" s="38">
        <f t="shared" si="0"/>
        <v>21916</v>
      </c>
      <c r="H29" s="37">
        <v>680</v>
      </c>
      <c r="I29" s="7" t="s">
        <v>21</v>
      </c>
      <c r="J29" s="38">
        <f>(H29*15.5+H29*25)*0.84</f>
        <v>23133.599999999999</v>
      </c>
      <c r="K29" s="40">
        <f t="shared" si="1"/>
        <v>1.0555575835006388</v>
      </c>
    </row>
    <row r="30" spans="1:11" x14ac:dyDescent="0.25">
      <c r="A30" s="2"/>
      <c r="B30" s="2">
        <v>2010</v>
      </c>
      <c r="C30" s="38">
        <v>72500</v>
      </c>
      <c r="D30" s="2">
        <v>2006</v>
      </c>
      <c r="E30" s="38">
        <v>8410</v>
      </c>
      <c r="F30" s="38">
        <v>0</v>
      </c>
      <c r="G30" s="38">
        <f t="shared" si="0"/>
        <v>64090</v>
      </c>
      <c r="H30" s="37">
        <v>1482</v>
      </c>
      <c r="I30" s="7" t="s">
        <v>21</v>
      </c>
      <c r="J30" s="38">
        <f>(H30*15.5+H30*25)*0.93</f>
        <v>55819.530000000006</v>
      </c>
      <c r="K30" s="40">
        <f t="shared" si="1"/>
        <v>0.87095537525354982</v>
      </c>
    </row>
    <row r="31" spans="1:11" x14ac:dyDescent="0.25">
      <c r="A31" s="2"/>
      <c r="B31" s="2">
        <v>2012</v>
      </c>
      <c r="C31" s="38">
        <v>235000</v>
      </c>
      <c r="D31" s="2">
        <v>2004</v>
      </c>
      <c r="E31" s="38">
        <v>11050</v>
      </c>
      <c r="F31" s="38">
        <v>19480</v>
      </c>
      <c r="G31" s="38">
        <f t="shared" si="0"/>
        <v>204470</v>
      </c>
      <c r="H31" s="37">
        <v>2952</v>
      </c>
      <c r="I31" s="7" t="s">
        <v>21</v>
      </c>
      <c r="J31" s="38">
        <f>(H31*15.5+H31*25)*0.9</f>
        <v>107600.40000000001</v>
      </c>
      <c r="K31" s="40">
        <f t="shared" si="1"/>
        <v>0.52624052428229084</v>
      </c>
    </row>
    <row r="32" spans="1:11" x14ac:dyDescent="0.25">
      <c r="J32" t="s">
        <v>35</v>
      </c>
      <c r="K32" s="40">
        <f>MEDIAN(K7:K31)</f>
        <v>0.59966327475618264</v>
      </c>
    </row>
    <row r="33" spans="10:11" x14ac:dyDescent="0.25">
      <c r="J33" t="s">
        <v>36</v>
      </c>
      <c r="K33" s="40">
        <f>AVERAGE(K7:K31)</f>
        <v>0.65389214780450888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6"/>
  <sheetViews>
    <sheetView topLeftCell="B1" workbookViewId="0">
      <selection activeCell="B1" sqref="B1"/>
    </sheetView>
  </sheetViews>
  <sheetFormatPr defaultRowHeight="15" x14ac:dyDescent="0.25"/>
  <cols>
    <col min="1" max="1" width="15.7109375" bestFit="1" customWidth="1"/>
    <col min="2" max="2" width="12.5703125" bestFit="1" customWidth="1"/>
    <col min="3" max="3" width="10.42578125" bestFit="1" customWidth="1"/>
    <col min="4" max="4" width="10.140625" bestFit="1" customWidth="1"/>
    <col min="5" max="5" width="10" bestFit="1" customWidth="1"/>
    <col min="6" max="6" width="12.140625" customWidth="1"/>
    <col min="7" max="7" width="11.42578125" bestFit="1" customWidth="1"/>
    <col min="8" max="8" width="14" customWidth="1"/>
    <col min="9" max="9" width="7.42578125" bestFit="1" customWidth="1"/>
    <col min="10" max="10" width="10.42578125" bestFit="1" customWidth="1"/>
    <col min="11" max="11" width="5.5703125" bestFit="1" customWidth="1"/>
  </cols>
  <sheetData>
    <row r="5" spans="1:11" x14ac:dyDescent="0.25">
      <c r="A5" s="3" t="s">
        <v>0</v>
      </c>
      <c r="B5" s="3" t="s">
        <v>54</v>
      </c>
      <c r="C5" s="3" t="s">
        <v>62</v>
      </c>
      <c r="D5" s="3" t="s">
        <v>56</v>
      </c>
      <c r="E5" s="3" t="s">
        <v>60</v>
      </c>
      <c r="F5" s="3" t="s">
        <v>61</v>
      </c>
      <c r="G5" s="3" t="s">
        <v>59</v>
      </c>
      <c r="H5" s="3" t="s">
        <v>5</v>
      </c>
      <c r="I5" s="3" t="s">
        <v>3</v>
      </c>
      <c r="J5" s="3" t="s">
        <v>58</v>
      </c>
      <c r="K5" s="3" t="s">
        <v>53</v>
      </c>
    </row>
    <row r="6" spans="1:11" x14ac:dyDescent="0.25">
      <c r="A6" s="2" t="s">
        <v>4</v>
      </c>
      <c r="B6" s="2">
        <v>2011</v>
      </c>
      <c r="C6" s="38">
        <v>162500</v>
      </c>
      <c r="D6" s="2">
        <v>2003</v>
      </c>
      <c r="E6" s="38">
        <v>98760</v>
      </c>
      <c r="F6" s="38"/>
      <c r="G6" s="38">
        <f t="shared" ref="G6:G30" si="0">C6-E6-F6</f>
        <v>63740</v>
      </c>
      <c r="H6" s="37">
        <v>1425</v>
      </c>
      <c r="I6" s="7" t="s">
        <v>21</v>
      </c>
      <c r="J6" s="38">
        <f>(H6*15.5+H6*37.55)*0.88</f>
        <v>66524.7</v>
      </c>
      <c r="K6" s="40">
        <f>J6/G6</f>
        <v>1.0436884217132099</v>
      </c>
    </row>
    <row r="7" spans="1:11" x14ac:dyDescent="0.25">
      <c r="A7" s="2"/>
      <c r="B7" s="2">
        <v>2011</v>
      </c>
      <c r="C7" s="38">
        <v>129000</v>
      </c>
      <c r="D7" s="2">
        <v>2006</v>
      </c>
      <c r="E7" s="38">
        <v>49290</v>
      </c>
      <c r="F7" s="38"/>
      <c r="G7" s="38">
        <f t="shared" si="0"/>
        <v>79710</v>
      </c>
      <c r="H7" s="37">
        <v>1400</v>
      </c>
      <c r="I7" s="7" t="s">
        <v>78</v>
      </c>
      <c r="J7" s="38">
        <f>(H7*15.5+H7*37.55*1.11)*0.94</f>
        <v>75249.537999999986</v>
      </c>
      <c r="K7" s="40">
        <f t="shared" ref="K7:K30" si="1">J7/G7</f>
        <v>0.94404137498431795</v>
      </c>
    </row>
    <row r="8" spans="1:11" x14ac:dyDescent="0.25">
      <c r="A8" s="2"/>
      <c r="B8" s="2">
        <v>2011</v>
      </c>
      <c r="C8" s="38">
        <v>266000</v>
      </c>
      <c r="D8" s="2">
        <v>1999</v>
      </c>
      <c r="E8" s="38">
        <v>131900</v>
      </c>
      <c r="F8" s="38">
        <v>10200</v>
      </c>
      <c r="G8" s="38">
        <f t="shared" si="0"/>
        <v>123900</v>
      </c>
      <c r="H8" s="37">
        <v>900</v>
      </c>
      <c r="I8" s="7" t="s">
        <v>21</v>
      </c>
      <c r="J8" s="38">
        <f>(H8*14.5+H8*37.55)*0.8</f>
        <v>37476</v>
      </c>
      <c r="K8" s="40">
        <f t="shared" si="1"/>
        <v>0.30246973365617436</v>
      </c>
    </row>
    <row r="9" spans="1:11" x14ac:dyDescent="0.25">
      <c r="A9" s="2"/>
      <c r="B9" s="2">
        <v>2010</v>
      </c>
      <c r="C9" s="38">
        <v>70000</v>
      </c>
      <c r="D9" s="2">
        <v>2001</v>
      </c>
      <c r="E9" s="38">
        <v>12800</v>
      </c>
      <c r="F9" s="38">
        <v>9720</v>
      </c>
      <c r="G9" s="38">
        <f t="shared" si="0"/>
        <v>47480</v>
      </c>
      <c r="H9" s="37">
        <v>1260</v>
      </c>
      <c r="I9" s="7" t="s">
        <v>21</v>
      </c>
      <c r="J9" s="38">
        <f>(H9*14.5+H9*37.55)*0.84</f>
        <v>55089.72</v>
      </c>
      <c r="K9" s="40">
        <f t="shared" si="1"/>
        <v>1.1602721145745578</v>
      </c>
    </row>
    <row r="10" spans="1:11" x14ac:dyDescent="0.25">
      <c r="A10" s="2"/>
      <c r="B10" s="2">
        <v>2010</v>
      </c>
      <c r="C10" s="38">
        <v>170500</v>
      </c>
      <c r="D10" s="2">
        <v>2005</v>
      </c>
      <c r="E10" s="38">
        <v>40600</v>
      </c>
      <c r="F10" s="38">
        <v>1300</v>
      </c>
      <c r="G10" s="38">
        <f t="shared" si="0"/>
        <v>128600</v>
      </c>
      <c r="H10" s="37">
        <v>1800</v>
      </c>
      <c r="I10" s="7" t="s">
        <v>21</v>
      </c>
      <c r="J10" s="38">
        <f>(H10*14.5+H10*37.55)*0.91</f>
        <v>85257.900000000009</v>
      </c>
      <c r="K10" s="40">
        <f t="shared" si="1"/>
        <v>0.66296967340590984</v>
      </c>
    </row>
    <row r="11" spans="1:11" x14ac:dyDescent="0.25">
      <c r="A11" s="2" t="s">
        <v>18</v>
      </c>
      <c r="B11" s="2">
        <v>2012</v>
      </c>
      <c r="C11" s="38">
        <v>201250</v>
      </c>
      <c r="D11" s="2">
        <v>2006</v>
      </c>
      <c r="E11" s="38">
        <v>55590</v>
      </c>
      <c r="F11" s="38">
        <v>9230</v>
      </c>
      <c r="G11" s="38">
        <f t="shared" si="0"/>
        <v>136430</v>
      </c>
      <c r="H11" s="37">
        <v>900</v>
      </c>
      <c r="I11" s="7" t="s">
        <v>78</v>
      </c>
      <c r="J11" s="38">
        <f>(H11*14.5+H11*37.55*0.94)*0.94</f>
        <v>42128.262000000002</v>
      </c>
      <c r="K11" s="40">
        <f t="shared" si="1"/>
        <v>0.30879031004910945</v>
      </c>
    </row>
    <row r="12" spans="1:11" x14ac:dyDescent="0.25">
      <c r="A12" s="2"/>
      <c r="B12" s="2">
        <v>2011</v>
      </c>
      <c r="C12" s="38">
        <v>169000</v>
      </c>
      <c r="D12" s="2">
        <v>2005</v>
      </c>
      <c r="E12" s="38">
        <v>60500</v>
      </c>
      <c r="F12" s="38">
        <v>21133</v>
      </c>
      <c r="G12" s="38">
        <f t="shared" si="0"/>
        <v>87367</v>
      </c>
      <c r="H12" s="37">
        <v>750</v>
      </c>
      <c r="I12" s="7" t="s">
        <v>21</v>
      </c>
      <c r="J12" s="38">
        <f>(H12*14.5+H12*37.55)*0.91</f>
        <v>35524.125</v>
      </c>
      <c r="K12" s="40">
        <f t="shared" si="1"/>
        <v>0.40660804422722541</v>
      </c>
    </row>
    <row r="13" spans="1:11" x14ac:dyDescent="0.25">
      <c r="A13" s="2"/>
      <c r="B13" s="36">
        <v>2008</v>
      </c>
      <c r="C13" s="38">
        <v>110000</v>
      </c>
      <c r="D13" s="2">
        <v>2007</v>
      </c>
      <c r="E13" s="38">
        <v>73000</v>
      </c>
      <c r="F13" s="38">
        <v>10800</v>
      </c>
      <c r="G13" s="38">
        <f t="shared" si="0"/>
        <v>26200</v>
      </c>
      <c r="H13" s="37">
        <v>600</v>
      </c>
      <c r="I13" s="7" t="s">
        <v>21</v>
      </c>
      <c r="J13" s="38">
        <f>(H13*14.5+H13*37.55)*0.95</f>
        <v>29668.5</v>
      </c>
      <c r="K13" s="40">
        <f t="shared" si="1"/>
        <v>1.1323854961832061</v>
      </c>
    </row>
    <row r="14" spans="1:11" x14ac:dyDescent="0.25">
      <c r="A14" s="2"/>
      <c r="B14" s="36">
        <v>2010</v>
      </c>
      <c r="C14" s="38">
        <v>106000</v>
      </c>
      <c r="D14" s="2">
        <v>2007</v>
      </c>
      <c r="E14" s="38">
        <v>73000</v>
      </c>
      <c r="F14" s="38">
        <v>10800</v>
      </c>
      <c r="G14" s="38">
        <f t="shared" si="0"/>
        <v>22200</v>
      </c>
      <c r="H14" s="37">
        <v>600</v>
      </c>
      <c r="I14" s="7" t="s">
        <v>21</v>
      </c>
      <c r="J14" s="38">
        <f>(H14*14.5+H14*37.55)*0.94</f>
        <v>29356.199999999997</v>
      </c>
      <c r="K14" s="40">
        <f t="shared" si="1"/>
        <v>1.3223513513513512</v>
      </c>
    </row>
    <row r="15" spans="1:11" x14ac:dyDescent="0.25">
      <c r="A15" s="2"/>
      <c r="B15" s="36">
        <v>2008</v>
      </c>
      <c r="C15" s="38">
        <v>87500</v>
      </c>
      <c r="D15" s="2">
        <v>2001</v>
      </c>
      <c r="E15" s="38">
        <v>36400</v>
      </c>
      <c r="F15" s="38">
        <v>11076</v>
      </c>
      <c r="G15" s="38">
        <f t="shared" si="0"/>
        <v>40024</v>
      </c>
      <c r="H15" s="37">
        <v>900</v>
      </c>
      <c r="I15" s="7" t="s">
        <v>21</v>
      </c>
      <c r="J15" s="38">
        <f>(H15*14.5+H15*37.55)*0.84</f>
        <v>39349.799999999996</v>
      </c>
      <c r="K15" s="40">
        <f t="shared" si="1"/>
        <v>0.98315510693583841</v>
      </c>
    </row>
    <row r="16" spans="1:11" x14ac:dyDescent="0.25">
      <c r="A16" s="2"/>
      <c r="B16" s="36">
        <v>2012</v>
      </c>
      <c r="C16" s="38">
        <v>115000</v>
      </c>
      <c r="D16" s="2">
        <v>2001</v>
      </c>
      <c r="E16" s="38">
        <v>36400</v>
      </c>
      <c r="F16" s="38">
        <v>11076</v>
      </c>
      <c r="G16" s="38">
        <f t="shared" si="0"/>
        <v>67524</v>
      </c>
      <c r="H16" s="37">
        <v>900</v>
      </c>
      <c r="I16" s="7" t="s">
        <v>21</v>
      </c>
      <c r="J16" s="38">
        <f>(H16*14.5+H16*37.55)*0.84</f>
        <v>39349.799999999996</v>
      </c>
      <c r="K16" s="40">
        <f t="shared" si="1"/>
        <v>0.58275279900479826</v>
      </c>
    </row>
    <row r="17" spans="1:11" x14ac:dyDescent="0.25">
      <c r="A17" s="2"/>
      <c r="B17" s="2">
        <v>2012</v>
      </c>
      <c r="C17" s="38">
        <v>60000</v>
      </c>
      <c r="D17" s="2">
        <v>2004</v>
      </c>
      <c r="E17" s="38">
        <v>30000</v>
      </c>
      <c r="F17" s="38">
        <v>9467</v>
      </c>
      <c r="G17" s="38">
        <f t="shared" si="0"/>
        <v>20533</v>
      </c>
      <c r="H17" s="37">
        <v>1260</v>
      </c>
      <c r="I17" s="7" t="s">
        <v>57</v>
      </c>
      <c r="J17" s="38">
        <f>(H17*14.5+H17*37.55*0.94)*0.9</f>
        <v>56469.797999999995</v>
      </c>
      <c r="K17" s="40">
        <f t="shared" si="1"/>
        <v>2.7501971460575656</v>
      </c>
    </row>
    <row r="18" spans="1:11" x14ac:dyDescent="0.25">
      <c r="A18" s="2"/>
      <c r="B18" s="2">
        <v>2011</v>
      </c>
      <c r="C18" s="38">
        <v>125000</v>
      </c>
      <c r="D18" s="2">
        <v>2006</v>
      </c>
      <c r="E18" s="38">
        <v>62000</v>
      </c>
      <c r="F18" s="38">
        <v>16006</v>
      </c>
      <c r="G18" s="38">
        <f t="shared" si="0"/>
        <v>46994</v>
      </c>
      <c r="H18" s="37">
        <v>1200</v>
      </c>
      <c r="I18" s="7" t="s">
        <v>21</v>
      </c>
      <c r="J18" s="38">
        <f>(H18*14.5+H18*37.55)*0.93</f>
        <v>58087.8</v>
      </c>
      <c r="K18" s="40">
        <f t="shared" si="1"/>
        <v>1.2360684342682045</v>
      </c>
    </row>
    <row r="19" spans="1:11" x14ac:dyDescent="0.25">
      <c r="A19" s="2"/>
      <c r="B19" s="2">
        <v>2010</v>
      </c>
      <c r="C19" s="38">
        <v>158900</v>
      </c>
      <c r="D19" s="2">
        <v>2008</v>
      </c>
      <c r="E19" s="38">
        <v>37803</v>
      </c>
      <c r="F19" s="38">
        <v>27088</v>
      </c>
      <c r="G19" s="38">
        <f t="shared" si="0"/>
        <v>94009</v>
      </c>
      <c r="H19" s="37">
        <v>2016</v>
      </c>
      <c r="I19" s="7" t="s">
        <v>78</v>
      </c>
      <c r="J19" s="38">
        <f>(H19*14.5+H19*37.55*1.11)*0.97</f>
        <v>109862.09135999999</v>
      </c>
      <c r="K19" s="40">
        <f t="shared" si="1"/>
        <v>1.1686337622993541</v>
      </c>
    </row>
    <row r="20" spans="1:11" x14ac:dyDescent="0.25">
      <c r="A20" s="2"/>
      <c r="B20" s="2">
        <v>2010</v>
      </c>
      <c r="C20" s="38">
        <v>195000</v>
      </c>
      <c r="D20" s="2">
        <v>2006</v>
      </c>
      <c r="E20" s="38">
        <v>31000</v>
      </c>
      <c r="F20" s="38">
        <v>24153</v>
      </c>
      <c r="G20" s="38">
        <f t="shared" si="0"/>
        <v>139847</v>
      </c>
      <c r="H20" s="37">
        <v>2077</v>
      </c>
      <c r="I20" s="7" t="s">
        <v>78</v>
      </c>
      <c r="J20" s="38">
        <f>(H20*14.5+H20*37.55*1.11)*0.94</f>
        <v>109685.68458999999</v>
      </c>
      <c r="K20" s="40">
        <f t="shared" si="1"/>
        <v>0.78432633227741744</v>
      </c>
    </row>
    <row r="21" spans="1:11" x14ac:dyDescent="0.25">
      <c r="A21" s="2"/>
      <c r="B21" s="2">
        <v>2012</v>
      </c>
      <c r="C21" s="38">
        <v>239000</v>
      </c>
      <c r="D21" s="2">
        <v>2004</v>
      </c>
      <c r="E21" s="38">
        <v>14950</v>
      </c>
      <c r="F21" s="38">
        <v>49124</v>
      </c>
      <c r="G21" s="38">
        <f t="shared" si="0"/>
        <v>174926</v>
      </c>
      <c r="H21" s="37">
        <v>2074</v>
      </c>
      <c r="I21" s="7" t="s">
        <v>34</v>
      </c>
      <c r="J21" s="38">
        <f>+(H21*14.5*1.45+H21*46.04)*0.92</f>
        <v>127965.3852</v>
      </c>
      <c r="K21" s="40">
        <f t="shared" si="1"/>
        <v>0.73154010953203075</v>
      </c>
    </row>
    <row r="22" spans="1:11" x14ac:dyDescent="0.25">
      <c r="A22" s="2"/>
      <c r="B22" s="2">
        <v>2011</v>
      </c>
      <c r="C22" s="38">
        <v>263000</v>
      </c>
      <c r="D22" s="2">
        <v>2007</v>
      </c>
      <c r="E22" s="38">
        <v>21845</v>
      </c>
      <c r="F22" s="38">
        <v>50280</v>
      </c>
      <c r="G22" s="38">
        <f t="shared" si="0"/>
        <v>190875</v>
      </c>
      <c r="H22" s="37">
        <v>1805</v>
      </c>
      <c r="I22" s="7" t="s">
        <v>34</v>
      </c>
      <c r="J22" s="38">
        <f>+(H22*14.5*1.45+H22*46.04)*0.96</f>
        <v>116210.23199999999</v>
      </c>
      <c r="K22" s="40">
        <f t="shared" si="1"/>
        <v>0.60882898231827109</v>
      </c>
    </row>
    <row r="23" spans="1:11" x14ac:dyDescent="0.25">
      <c r="A23" s="2"/>
      <c r="B23" s="2">
        <v>2010</v>
      </c>
      <c r="C23" s="38">
        <v>315000</v>
      </c>
      <c r="D23" s="2">
        <v>2006</v>
      </c>
      <c r="E23" s="38">
        <v>18452</v>
      </c>
      <c r="F23" s="38">
        <v>43299</v>
      </c>
      <c r="G23" s="38">
        <f t="shared" si="0"/>
        <v>253249</v>
      </c>
      <c r="H23" s="37">
        <v>1696</v>
      </c>
      <c r="I23" s="7" t="s">
        <v>34</v>
      </c>
      <c r="J23" s="38">
        <f>+(H23*14.5*1.45+H23*46.04)*0.94</f>
        <v>106917.70559999999</v>
      </c>
      <c r="K23" s="40">
        <f t="shared" si="1"/>
        <v>0.42218411760757196</v>
      </c>
    </row>
    <row r="24" spans="1:11" x14ac:dyDescent="0.25">
      <c r="A24" s="2"/>
      <c r="B24" s="2">
        <v>2010</v>
      </c>
      <c r="C24" s="38">
        <v>335000</v>
      </c>
      <c r="D24" s="2">
        <v>2000</v>
      </c>
      <c r="E24" s="38">
        <v>124850</v>
      </c>
      <c r="F24" s="38">
        <v>2916</v>
      </c>
      <c r="G24" s="38">
        <f t="shared" si="0"/>
        <v>207234</v>
      </c>
      <c r="H24" s="37">
        <v>864</v>
      </c>
      <c r="I24" s="7" t="s">
        <v>21</v>
      </c>
      <c r="J24" s="38">
        <f>(H24*14.5+H24*37.55)*0.82</f>
        <v>36876.383999999998</v>
      </c>
      <c r="K24" s="40">
        <f t="shared" si="1"/>
        <v>0.17794562668288022</v>
      </c>
    </row>
    <row r="25" spans="1:11" x14ac:dyDescent="0.25">
      <c r="A25" s="2"/>
      <c r="B25" s="2">
        <v>2011</v>
      </c>
      <c r="C25" s="38">
        <v>475000</v>
      </c>
      <c r="D25" s="2">
        <v>2007</v>
      </c>
      <c r="E25" s="38">
        <v>204085</v>
      </c>
      <c r="F25" s="38">
        <v>14583</v>
      </c>
      <c r="G25" s="38">
        <f t="shared" si="0"/>
        <v>256332</v>
      </c>
      <c r="H25" s="37">
        <v>1600</v>
      </c>
      <c r="I25" s="7" t="s">
        <v>78</v>
      </c>
      <c r="J25" s="38">
        <f>(H25*14.5+H25*37.55*1.11)*0.96</f>
        <v>86293.248000000007</v>
      </c>
      <c r="K25" s="40">
        <f t="shared" si="1"/>
        <v>0.33664641168484627</v>
      </c>
    </row>
    <row r="26" spans="1:11" x14ac:dyDescent="0.25">
      <c r="A26" s="2"/>
      <c r="B26" s="2">
        <v>2011</v>
      </c>
      <c r="C26" s="38">
        <v>607500</v>
      </c>
      <c r="D26" s="2">
        <v>1996</v>
      </c>
      <c r="E26" s="38">
        <v>35154</v>
      </c>
      <c r="F26" s="38">
        <v>37670</v>
      </c>
      <c r="G26" s="38">
        <f t="shared" si="0"/>
        <v>534676</v>
      </c>
      <c r="H26" s="37">
        <v>4120</v>
      </c>
      <c r="I26" s="7" t="s">
        <v>77</v>
      </c>
      <c r="J26" s="38">
        <f>+(H26*14.5*1.45+H26*46.04*1.35)*0.83</f>
        <v>284438.90839999996</v>
      </c>
      <c r="K26" s="40">
        <f t="shared" si="1"/>
        <v>0.53198368432471244</v>
      </c>
    </row>
    <row r="27" spans="1:11" x14ac:dyDescent="0.25">
      <c r="A27" s="2"/>
      <c r="B27" s="2">
        <v>2010</v>
      </c>
      <c r="C27" s="38">
        <v>870000</v>
      </c>
      <c r="D27" s="2">
        <v>2004</v>
      </c>
      <c r="E27" s="38">
        <v>520117</v>
      </c>
      <c r="F27" s="38">
        <v>13748</v>
      </c>
      <c r="G27" s="38">
        <f t="shared" si="0"/>
        <v>336135</v>
      </c>
      <c r="H27" s="37">
        <v>2850</v>
      </c>
      <c r="I27" s="7" t="s">
        <v>21</v>
      </c>
      <c r="J27" s="38">
        <f>(H27*14.5+H27*37.55)*0.9</f>
        <v>133508.25</v>
      </c>
      <c r="K27" s="40">
        <f t="shared" si="1"/>
        <v>0.39718639832210273</v>
      </c>
    </row>
    <row r="28" spans="1:11" x14ac:dyDescent="0.25">
      <c r="A28" s="2" t="s">
        <v>55</v>
      </c>
      <c r="B28" s="2">
        <v>2010</v>
      </c>
      <c r="C28" s="38">
        <v>78000</v>
      </c>
      <c r="D28" s="2">
        <v>2001</v>
      </c>
      <c r="E28" s="38">
        <v>25000</v>
      </c>
      <c r="F28" s="38">
        <v>31084</v>
      </c>
      <c r="G28" s="38">
        <f t="shared" si="0"/>
        <v>21916</v>
      </c>
      <c r="H28" s="37">
        <v>680</v>
      </c>
      <c r="I28" s="7" t="s">
        <v>21</v>
      </c>
      <c r="J28" s="38">
        <f>(H28*14.5+H28*37.55)*0.84</f>
        <v>29730.959999999999</v>
      </c>
      <c r="K28" s="40">
        <f t="shared" si="1"/>
        <v>1.356586968424895</v>
      </c>
    </row>
    <row r="29" spans="1:11" x14ac:dyDescent="0.25">
      <c r="A29" s="2"/>
      <c r="B29" s="2">
        <v>2010</v>
      </c>
      <c r="C29" s="38">
        <v>72500</v>
      </c>
      <c r="D29" s="2">
        <v>2006</v>
      </c>
      <c r="E29" s="38">
        <v>8410</v>
      </c>
      <c r="F29" s="38">
        <v>0</v>
      </c>
      <c r="G29" s="38">
        <f t="shared" si="0"/>
        <v>64090</v>
      </c>
      <c r="H29" s="37">
        <v>1482</v>
      </c>
      <c r="I29" s="7" t="s">
        <v>21</v>
      </c>
      <c r="J29" s="38">
        <f>(H29*14.5+H29*37.55)*0.93</f>
        <v>71738.433000000005</v>
      </c>
      <c r="K29" s="40">
        <f t="shared" si="1"/>
        <v>1.1193389452332658</v>
      </c>
    </row>
    <row r="30" spans="1:11" x14ac:dyDescent="0.25">
      <c r="A30" s="2"/>
      <c r="B30" s="2">
        <v>2012</v>
      </c>
      <c r="C30" s="38">
        <v>235000</v>
      </c>
      <c r="D30" s="2">
        <v>2004</v>
      </c>
      <c r="E30" s="38">
        <v>11050</v>
      </c>
      <c r="F30" s="38">
        <v>19480</v>
      </c>
      <c r="G30" s="38">
        <f t="shared" si="0"/>
        <v>204470</v>
      </c>
      <c r="H30" s="37">
        <v>2952</v>
      </c>
      <c r="I30" s="7" t="s">
        <v>21</v>
      </c>
      <c r="J30" s="38">
        <f>(H30*14.5+H30*37.55)*0.9</f>
        <v>138286.43999999997</v>
      </c>
      <c r="K30" s="40">
        <f t="shared" si="1"/>
        <v>0.67631652565168476</v>
      </c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 t="s">
        <v>35</v>
      </c>
      <c r="K31" s="40">
        <f>MEDIAN(K6:K30)</f>
        <v>0.73154010953203075</v>
      </c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 t="s">
        <v>36</v>
      </c>
      <c r="K32" s="40">
        <f>AVERAGE(K6:K30)</f>
        <v>0.84589071483082012</v>
      </c>
    </row>
    <row r="34" spans="1:10" ht="15.75" x14ac:dyDescent="0.25">
      <c r="A34" s="59"/>
      <c r="B34" s="59"/>
      <c r="C34" s="59"/>
      <c r="D34" s="60"/>
      <c r="E34" s="45"/>
      <c r="F34" s="60"/>
      <c r="G34" s="45"/>
      <c r="H34" s="45"/>
      <c r="I34" s="45"/>
      <c r="J34" s="46"/>
    </row>
    <row r="35" spans="1:10" s="2" customFormat="1" ht="15.75" x14ac:dyDescent="0.25">
      <c r="A35" s="59"/>
      <c r="B35" s="59"/>
      <c r="C35" s="59"/>
      <c r="D35" s="60"/>
      <c r="E35" s="45"/>
      <c r="F35" s="60"/>
      <c r="G35" s="45"/>
      <c r="H35" s="45"/>
      <c r="I35" s="45"/>
      <c r="J35" s="46"/>
    </row>
    <row r="36" spans="1:10" s="2" customFormat="1" ht="15.75" x14ac:dyDescent="0.25">
      <c r="A36" s="59"/>
      <c r="B36" s="59"/>
      <c r="C36" s="59"/>
      <c r="D36" s="60"/>
      <c r="E36" s="45"/>
      <c r="F36" s="60"/>
      <c r="G36" s="45"/>
      <c r="H36" s="45"/>
      <c r="I36" s="45"/>
      <c r="J36" s="46"/>
    </row>
    <row r="37" spans="1:10" ht="15.75" x14ac:dyDescent="0.25">
      <c r="B37" s="41"/>
      <c r="C37" s="42" t="s">
        <v>42</v>
      </c>
      <c r="D37" s="42" t="s">
        <v>68</v>
      </c>
      <c r="E37" s="42" t="s">
        <v>70</v>
      </c>
      <c r="F37" s="42" t="s">
        <v>69</v>
      </c>
      <c r="G37" s="42" t="s">
        <v>71</v>
      </c>
    </row>
    <row r="38" spans="1:10" ht="15.75" x14ac:dyDescent="0.25">
      <c r="B38" s="43" t="s">
        <v>66</v>
      </c>
      <c r="C38" s="44">
        <v>15.5</v>
      </c>
      <c r="D38" s="54">
        <v>29.83</v>
      </c>
      <c r="E38" s="54">
        <v>33.57</v>
      </c>
      <c r="F38" s="54">
        <v>37.549999999999997</v>
      </c>
      <c r="G38" s="54">
        <v>46.04</v>
      </c>
    </row>
    <row r="40" spans="1:10" ht="15.75" x14ac:dyDescent="0.25">
      <c r="A40" s="30" t="s">
        <v>41</v>
      </c>
      <c r="B40" s="31" t="s">
        <v>49</v>
      </c>
      <c r="C40" s="31" t="s">
        <v>43</v>
      </c>
      <c r="D40" s="31" t="s">
        <v>48</v>
      </c>
      <c r="E40" s="31" t="s">
        <v>44</v>
      </c>
      <c r="F40" s="31" t="s">
        <v>80</v>
      </c>
      <c r="G40" s="31" t="s">
        <v>45</v>
      </c>
      <c r="H40" s="31" t="s">
        <v>81</v>
      </c>
    </row>
    <row r="41" spans="1:10" ht="15.75" x14ac:dyDescent="0.25">
      <c r="A41" s="32" t="s">
        <v>42</v>
      </c>
      <c r="B41" s="33">
        <v>0.4</v>
      </c>
      <c r="C41" s="33">
        <v>0.55000000000000004</v>
      </c>
      <c r="D41" s="33">
        <v>0.75</v>
      </c>
      <c r="E41" s="33">
        <v>1</v>
      </c>
      <c r="F41" s="33">
        <v>1.25</v>
      </c>
      <c r="G41" s="33">
        <v>1.45</v>
      </c>
      <c r="H41" s="33">
        <v>1.7</v>
      </c>
    </row>
    <row r="42" spans="1:10" ht="15.75" x14ac:dyDescent="0.25">
      <c r="A42" s="32" t="s">
        <v>50</v>
      </c>
      <c r="B42" s="33">
        <v>0.7</v>
      </c>
      <c r="C42" s="33">
        <v>0.8</v>
      </c>
      <c r="D42" s="33">
        <v>0.9</v>
      </c>
      <c r="E42" s="33">
        <v>1</v>
      </c>
      <c r="F42" s="33">
        <v>1.1499999999999999</v>
      </c>
      <c r="G42" s="33">
        <v>1.3</v>
      </c>
      <c r="H42" s="33">
        <v>1.45</v>
      </c>
    </row>
    <row r="45" spans="1:10" ht="15.75" x14ac:dyDescent="0.25">
      <c r="A45" s="30" t="s">
        <v>63</v>
      </c>
      <c r="B45" s="31" t="s">
        <v>64</v>
      </c>
      <c r="C45" s="31" t="s">
        <v>43</v>
      </c>
      <c r="D45" s="31" t="s">
        <v>44</v>
      </c>
      <c r="E45" s="31" t="s">
        <v>45</v>
      </c>
      <c r="F45" s="31" t="s">
        <v>82</v>
      </c>
      <c r="G45" s="31" t="s">
        <v>83</v>
      </c>
    </row>
    <row r="46" spans="1:10" ht="15.75" x14ac:dyDescent="0.25">
      <c r="A46" s="32" t="s">
        <v>65</v>
      </c>
      <c r="B46" s="39">
        <v>30</v>
      </c>
      <c r="C46" s="39">
        <v>35</v>
      </c>
      <c r="D46" s="39">
        <v>40</v>
      </c>
      <c r="E46" s="39">
        <v>45</v>
      </c>
      <c r="F46" s="39">
        <v>50</v>
      </c>
      <c r="G46" s="39">
        <v>55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47"/>
  <sheetViews>
    <sheetView workbookViewId="0"/>
  </sheetViews>
  <sheetFormatPr defaultRowHeight="15" x14ac:dyDescent="0.25"/>
  <cols>
    <col min="1" max="1" width="15.7109375" bestFit="1" customWidth="1"/>
    <col min="2" max="2" width="9.28515625" bestFit="1" customWidth="1"/>
    <col min="3" max="3" width="12.5703125" bestFit="1" customWidth="1"/>
    <col min="4" max="4" width="10.42578125" bestFit="1" customWidth="1"/>
    <col min="5" max="5" width="10" bestFit="1" customWidth="1"/>
    <col min="6" max="6" width="12.28515625" customWidth="1"/>
    <col min="7" max="7" width="11.28515625" customWidth="1"/>
    <col min="8" max="8" width="12.7109375" customWidth="1"/>
    <col min="9" max="9" width="7.42578125" bestFit="1" customWidth="1"/>
    <col min="10" max="10" width="11.5703125" bestFit="1" customWidth="1"/>
    <col min="11" max="11" width="5.5703125" bestFit="1" customWidth="1"/>
  </cols>
  <sheetData>
    <row r="5" spans="1:11" s="2" customFormat="1" x14ac:dyDescent="0.25"/>
    <row r="6" spans="1:11" x14ac:dyDescent="0.25">
      <c r="A6" s="3" t="s">
        <v>0</v>
      </c>
      <c r="B6" s="3" t="s">
        <v>54</v>
      </c>
      <c r="C6" s="3" t="s">
        <v>62</v>
      </c>
      <c r="D6" s="3" t="s">
        <v>56</v>
      </c>
      <c r="E6" s="3" t="s">
        <v>60</v>
      </c>
      <c r="F6" s="3" t="s">
        <v>61</v>
      </c>
      <c r="G6" s="3" t="s">
        <v>59</v>
      </c>
      <c r="H6" s="3" t="s">
        <v>5</v>
      </c>
      <c r="I6" s="3" t="s">
        <v>3</v>
      </c>
      <c r="J6" s="3" t="s">
        <v>58</v>
      </c>
      <c r="K6" s="3" t="s">
        <v>53</v>
      </c>
    </row>
    <row r="7" spans="1:11" x14ac:dyDescent="0.25">
      <c r="A7" s="2" t="s">
        <v>4</v>
      </c>
      <c r="B7" s="2">
        <v>2011</v>
      </c>
      <c r="C7" s="38">
        <v>162500</v>
      </c>
      <c r="D7" s="2">
        <v>2003</v>
      </c>
      <c r="E7" s="38">
        <v>98760</v>
      </c>
      <c r="F7" s="38"/>
      <c r="G7" s="38">
        <f t="shared" ref="G7:G31" si="0">C7-E7-F7</f>
        <v>63740</v>
      </c>
      <c r="H7" s="37">
        <v>1425</v>
      </c>
      <c r="I7" s="7" t="s">
        <v>21</v>
      </c>
      <c r="J7" s="38">
        <f>(H7*15.5+H7*66.41)*0.88</f>
        <v>102715.14</v>
      </c>
      <c r="K7" s="40">
        <f>J7/G7</f>
        <v>1.6114706620646375</v>
      </c>
    </row>
    <row r="8" spans="1:11" x14ac:dyDescent="0.25">
      <c r="A8" s="2"/>
      <c r="B8" s="2">
        <v>2011</v>
      </c>
      <c r="C8" s="38">
        <v>129000</v>
      </c>
      <c r="D8" s="2">
        <v>2006</v>
      </c>
      <c r="E8" s="38">
        <v>49290</v>
      </c>
      <c r="F8" s="38"/>
      <c r="G8" s="38">
        <f t="shared" si="0"/>
        <v>79710</v>
      </c>
      <c r="H8" s="37">
        <v>1400</v>
      </c>
      <c r="I8" s="7" t="s">
        <v>78</v>
      </c>
      <c r="J8" s="38">
        <f>(H8*15.5+H8*64.11*1.11)*0.94</f>
        <v>114047.32359999999</v>
      </c>
      <c r="K8" s="40">
        <f t="shared" ref="K8:K31" si="1">J8/G8</f>
        <v>1.4307781156693011</v>
      </c>
    </row>
    <row r="9" spans="1:11" x14ac:dyDescent="0.25">
      <c r="A9" s="2"/>
      <c r="B9" s="2">
        <v>2011</v>
      </c>
      <c r="C9" s="38">
        <v>266000</v>
      </c>
      <c r="D9" s="2">
        <v>1999</v>
      </c>
      <c r="E9" s="38">
        <v>131900</v>
      </c>
      <c r="F9" s="38">
        <v>10200</v>
      </c>
      <c r="G9" s="38">
        <f t="shared" si="0"/>
        <v>123900</v>
      </c>
      <c r="H9" s="37">
        <v>900</v>
      </c>
      <c r="I9" s="7" t="s">
        <v>21</v>
      </c>
      <c r="J9" s="38">
        <f>(H9*15.5+H9*66.41)*0.8</f>
        <v>58975.200000000004</v>
      </c>
      <c r="K9" s="40">
        <f t="shared" si="1"/>
        <v>0.47599031476997583</v>
      </c>
    </row>
    <row r="10" spans="1:11" x14ac:dyDescent="0.25">
      <c r="A10" s="2"/>
      <c r="B10" s="2">
        <v>2010</v>
      </c>
      <c r="C10" s="38">
        <v>70000</v>
      </c>
      <c r="D10" s="2">
        <v>2001</v>
      </c>
      <c r="E10" s="38">
        <v>12800</v>
      </c>
      <c r="F10" s="38">
        <v>9720</v>
      </c>
      <c r="G10" s="38">
        <f t="shared" si="0"/>
        <v>47480</v>
      </c>
      <c r="H10" s="37">
        <v>1260</v>
      </c>
      <c r="I10" s="7" t="s">
        <v>21</v>
      </c>
      <c r="J10" s="38">
        <f>(H10*15.5+H10*66.41)*0.87</f>
        <v>89789.741999999998</v>
      </c>
      <c r="K10" s="40">
        <f t="shared" si="1"/>
        <v>1.8911066133108676</v>
      </c>
    </row>
    <row r="11" spans="1:11" x14ac:dyDescent="0.25">
      <c r="A11" s="2"/>
      <c r="B11" s="2">
        <v>2010</v>
      </c>
      <c r="C11" s="38">
        <v>170500</v>
      </c>
      <c r="D11" s="2">
        <v>2005</v>
      </c>
      <c r="E11" s="38">
        <v>40600</v>
      </c>
      <c r="F11" s="38">
        <v>1300</v>
      </c>
      <c r="G11" s="38">
        <f t="shared" si="0"/>
        <v>128600</v>
      </c>
      <c r="H11" s="37">
        <v>1800</v>
      </c>
      <c r="I11" s="7" t="s">
        <v>21</v>
      </c>
      <c r="J11" s="38">
        <f>(H11*15.5+H11*66.41)*0.91</f>
        <v>134168.58000000002</v>
      </c>
      <c r="K11" s="40">
        <f t="shared" si="1"/>
        <v>1.0433015552099534</v>
      </c>
    </row>
    <row r="12" spans="1:11" x14ac:dyDescent="0.25">
      <c r="A12" s="2" t="s">
        <v>18</v>
      </c>
      <c r="B12" s="2">
        <v>2012</v>
      </c>
      <c r="C12" s="38">
        <v>201250</v>
      </c>
      <c r="D12" s="2">
        <v>2006</v>
      </c>
      <c r="E12" s="38">
        <v>55590</v>
      </c>
      <c r="F12" s="38">
        <v>9230</v>
      </c>
      <c r="G12" s="38">
        <f t="shared" si="0"/>
        <v>136430</v>
      </c>
      <c r="H12" s="37">
        <v>900</v>
      </c>
      <c r="I12" s="7" t="s">
        <v>57</v>
      </c>
      <c r="J12" s="38">
        <f>(H12*15.5+H12*64.11*0.94)*0.93</f>
        <v>63413.965799999998</v>
      </c>
      <c r="K12" s="40">
        <f t="shared" si="1"/>
        <v>0.46480954188961371</v>
      </c>
    </row>
    <row r="13" spans="1:11" x14ac:dyDescent="0.25">
      <c r="A13" s="2"/>
      <c r="B13" s="2">
        <v>2011</v>
      </c>
      <c r="C13" s="38">
        <v>169000</v>
      </c>
      <c r="D13" s="2">
        <v>2005</v>
      </c>
      <c r="E13" s="38">
        <v>60500</v>
      </c>
      <c r="F13" s="38">
        <v>21133</v>
      </c>
      <c r="G13" s="38">
        <f t="shared" si="0"/>
        <v>87367</v>
      </c>
      <c r="H13" s="37">
        <v>750</v>
      </c>
      <c r="I13" s="7" t="s">
        <v>21</v>
      </c>
      <c r="J13" s="38">
        <f>(H13*15.5+H13*66.41)*0.91</f>
        <v>55903.575000000004</v>
      </c>
      <c r="K13" s="40">
        <f t="shared" si="1"/>
        <v>0.63987060331704193</v>
      </c>
    </row>
    <row r="14" spans="1:11" x14ac:dyDescent="0.25">
      <c r="A14" s="2"/>
      <c r="B14" s="36">
        <v>2008</v>
      </c>
      <c r="C14" s="38">
        <v>110000</v>
      </c>
      <c r="D14" s="2">
        <v>2007</v>
      </c>
      <c r="E14" s="38">
        <v>73000</v>
      </c>
      <c r="F14" s="38">
        <v>10800</v>
      </c>
      <c r="G14" s="38">
        <f t="shared" si="0"/>
        <v>26200</v>
      </c>
      <c r="H14" s="37">
        <v>600</v>
      </c>
      <c r="I14" s="7" t="s">
        <v>21</v>
      </c>
      <c r="J14" s="38">
        <f>(H14*15.5+H14*66.41)*0.95</f>
        <v>46688.7</v>
      </c>
      <c r="K14" s="40">
        <f t="shared" si="1"/>
        <v>1.7820114503816793</v>
      </c>
    </row>
    <row r="15" spans="1:11" x14ac:dyDescent="0.25">
      <c r="A15" s="2"/>
      <c r="B15" s="36">
        <v>2010</v>
      </c>
      <c r="C15" s="38">
        <v>106000</v>
      </c>
      <c r="D15" s="2">
        <v>2007</v>
      </c>
      <c r="E15" s="38">
        <v>73000</v>
      </c>
      <c r="F15" s="38">
        <v>10800</v>
      </c>
      <c r="G15" s="38">
        <f t="shared" si="0"/>
        <v>22200</v>
      </c>
      <c r="H15" s="37">
        <v>600</v>
      </c>
      <c r="I15" s="7" t="s">
        <v>21</v>
      </c>
      <c r="J15" s="38">
        <f>(H15*15.5+H15*66.41)*0.95</f>
        <v>46688.7</v>
      </c>
      <c r="K15" s="40">
        <f t="shared" si="1"/>
        <v>2.1030945945945945</v>
      </c>
    </row>
    <row r="16" spans="1:11" x14ac:dyDescent="0.25">
      <c r="A16" s="2"/>
      <c r="B16" s="36">
        <v>2008</v>
      </c>
      <c r="C16" s="38">
        <v>87500</v>
      </c>
      <c r="D16" s="2">
        <v>2001</v>
      </c>
      <c r="E16" s="38">
        <v>36400</v>
      </c>
      <c r="F16" s="38">
        <v>11076</v>
      </c>
      <c r="G16" s="38">
        <f t="shared" si="0"/>
        <v>40024</v>
      </c>
      <c r="H16" s="37">
        <v>900</v>
      </c>
      <c r="I16" s="7" t="s">
        <v>21</v>
      </c>
      <c r="J16" s="38">
        <f>(H16*15.5+H16*66.41)*0.84</f>
        <v>61923.96</v>
      </c>
      <c r="K16" s="40">
        <f t="shared" si="1"/>
        <v>1.5471706975814512</v>
      </c>
    </row>
    <row r="17" spans="1:11" x14ac:dyDescent="0.25">
      <c r="A17" s="2"/>
      <c r="B17" s="36">
        <v>2012</v>
      </c>
      <c r="C17" s="38">
        <v>115000</v>
      </c>
      <c r="D17" s="2">
        <v>2001</v>
      </c>
      <c r="E17" s="38">
        <v>36400</v>
      </c>
      <c r="F17" s="38">
        <v>11076</v>
      </c>
      <c r="G17" s="38">
        <f t="shared" si="0"/>
        <v>67524</v>
      </c>
      <c r="H17" s="37">
        <v>900</v>
      </c>
      <c r="I17" s="7" t="s">
        <v>21</v>
      </c>
      <c r="J17" s="38">
        <f>(H17*15.5+H17*66.41)*0.84</f>
        <v>61923.96</v>
      </c>
      <c r="K17" s="40">
        <f t="shared" si="1"/>
        <v>0.91706593211302645</v>
      </c>
    </row>
    <row r="18" spans="1:11" x14ac:dyDescent="0.25">
      <c r="A18" s="2"/>
      <c r="B18" s="2">
        <v>2012</v>
      </c>
      <c r="C18" s="38">
        <v>60000</v>
      </c>
      <c r="D18" s="2">
        <v>2004</v>
      </c>
      <c r="E18" s="38">
        <v>30000</v>
      </c>
      <c r="F18" s="38">
        <v>9467</v>
      </c>
      <c r="G18" s="38">
        <f t="shared" si="0"/>
        <v>20533</v>
      </c>
      <c r="H18" s="37">
        <v>1260</v>
      </c>
      <c r="I18" s="7" t="s">
        <v>57</v>
      </c>
      <c r="J18" s="38">
        <f>(H18*15.5+H18*64.11*0.94)*0.9</f>
        <v>85915.695600000006</v>
      </c>
      <c r="K18" s="40">
        <f t="shared" si="1"/>
        <v>4.1842738810694984</v>
      </c>
    </row>
    <row r="19" spans="1:11" x14ac:dyDescent="0.25">
      <c r="A19" s="2"/>
      <c r="B19" s="2">
        <v>2011</v>
      </c>
      <c r="C19" s="38">
        <v>125000</v>
      </c>
      <c r="D19" s="2">
        <v>2006</v>
      </c>
      <c r="E19" s="38">
        <v>62000</v>
      </c>
      <c r="F19" s="38">
        <v>16006</v>
      </c>
      <c r="G19" s="38">
        <f t="shared" si="0"/>
        <v>46994</v>
      </c>
      <c r="H19" s="37">
        <v>1200</v>
      </c>
      <c r="I19" s="7" t="s">
        <v>21</v>
      </c>
      <c r="J19" s="38">
        <f>(H19*15.5+H19*66.41)*0.93</f>
        <v>91411.56</v>
      </c>
      <c r="K19" s="40">
        <f t="shared" si="1"/>
        <v>1.9451751287398391</v>
      </c>
    </row>
    <row r="20" spans="1:11" x14ac:dyDescent="0.25">
      <c r="A20" s="2"/>
      <c r="B20" s="2">
        <v>2010</v>
      </c>
      <c r="C20" s="38">
        <v>158900</v>
      </c>
      <c r="D20" s="2">
        <v>2008</v>
      </c>
      <c r="E20" s="38">
        <v>37803</v>
      </c>
      <c r="F20" s="38">
        <v>27088</v>
      </c>
      <c r="G20" s="38">
        <f t="shared" si="0"/>
        <v>94009</v>
      </c>
      <c r="H20" s="37">
        <v>2016</v>
      </c>
      <c r="I20" s="7" t="s">
        <v>78</v>
      </c>
      <c r="J20" s="38">
        <f>(H20*15.5+H20*64.11*1.11)*0.97</f>
        <v>169469.46979199999</v>
      </c>
      <c r="K20" s="40">
        <f t="shared" si="1"/>
        <v>1.8026941015434692</v>
      </c>
    </row>
    <row r="21" spans="1:11" x14ac:dyDescent="0.25">
      <c r="A21" s="2"/>
      <c r="B21" s="2">
        <v>2010</v>
      </c>
      <c r="C21" s="38">
        <v>195000</v>
      </c>
      <c r="D21" s="2">
        <v>2006</v>
      </c>
      <c r="E21" s="38">
        <v>31000</v>
      </c>
      <c r="F21" s="38">
        <v>24153</v>
      </c>
      <c r="G21" s="38">
        <f t="shared" si="0"/>
        <v>139847</v>
      </c>
      <c r="H21" s="37">
        <v>2077</v>
      </c>
      <c r="I21" s="7" t="s">
        <v>78</v>
      </c>
      <c r="J21" s="38">
        <f>(H21*15.5+H21*64.11*1.11)*0.94</f>
        <v>169197.350798</v>
      </c>
      <c r="K21" s="40">
        <f t="shared" si="1"/>
        <v>1.2098747259362017</v>
      </c>
    </row>
    <row r="22" spans="1:11" x14ac:dyDescent="0.25">
      <c r="A22" s="2"/>
      <c r="B22" s="2">
        <v>2012</v>
      </c>
      <c r="C22" s="38">
        <v>239000</v>
      </c>
      <c r="D22" s="2">
        <v>2004</v>
      </c>
      <c r="E22" s="38">
        <v>14950</v>
      </c>
      <c r="F22" s="38">
        <v>49124</v>
      </c>
      <c r="G22" s="38">
        <f t="shared" si="0"/>
        <v>174926</v>
      </c>
      <c r="H22" s="37">
        <v>2074</v>
      </c>
      <c r="I22" s="7" t="s">
        <v>34</v>
      </c>
      <c r="J22" s="38">
        <f>+(H22*15.5*1.45+H22*77.8)*0.92</f>
        <v>191332.72199999998</v>
      </c>
      <c r="K22" s="40">
        <f t="shared" si="1"/>
        <v>1.0937923579113453</v>
      </c>
    </row>
    <row r="23" spans="1:11" x14ac:dyDescent="0.25">
      <c r="A23" s="2"/>
      <c r="B23" s="2">
        <v>2011</v>
      </c>
      <c r="C23" s="38">
        <v>263000</v>
      </c>
      <c r="D23" s="2">
        <v>2007</v>
      </c>
      <c r="E23" s="38">
        <v>21845</v>
      </c>
      <c r="F23" s="38">
        <v>50280</v>
      </c>
      <c r="G23" s="38">
        <f t="shared" si="0"/>
        <v>190875</v>
      </c>
      <c r="H23" s="37">
        <v>1805</v>
      </c>
      <c r="I23" s="7" t="s">
        <v>34</v>
      </c>
      <c r="J23" s="38">
        <f>+(H23*15.5*1.45+H23*77.8)*0.96</f>
        <v>173756.52</v>
      </c>
      <c r="K23" s="40">
        <f t="shared" si="1"/>
        <v>0.91031575638506868</v>
      </c>
    </row>
    <row r="24" spans="1:11" x14ac:dyDescent="0.25">
      <c r="A24" s="2"/>
      <c r="B24" s="2">
        <v>2010</v>
      </c>
      <c r="C24" s="38">
        <v>315000</v>
      </c>
      <c r="D24" s="2">
        <v>2006</v>
      </c>
      <c r="E24" s="38">
        <v>18452</v>
      </c>
      <c r="F24" s="38">
        <v>43299</v>
      </c>
      <c r="G24" s="38">
        <f t="shared" si="0"/>
        <v>253249</v>
      </c>
      <c r="H24" s="37">
        <v>1696</v>
      </c>
      <c r="I24" s="7" t="s">
        <v>34</v>
      </c>
      <c r="J24" s="38">
        <f>+(H24*15.5*1.45+H24*77.8)*0.94</f>
        <v>159862.416</v>
      </c>
      <c r="K24" s="40">
        <f t="shared" si="1"/>
        <v>0.63124599109966872</v>
      </c>
    </row>
    <row r="25" spans="1:11" x14ac:dyDescent="0.25">
      <c r="A25" s="2"/>
      <c r="B25" s="2">
        <v>2010</v>
      </c>
      <c r="C25" s="38">
        <v>335000</v>
      </c>
      <c r="D25" s="2">
        <v>2000</v>
      </c>
      <c r="E25" s="38">
        <v>124850</v>
      </c>
      <c r="F25" s="38">
        <v>2916</v>
      </c>
      <c r="G25" s="38">
        <f t="shared" si="0"/>
        <v>207234</v>
      </c>
      <c r="H25" s="37">
        <v>864</v>
      </c>
      <c r="I25" s="7" t="s">
        <v>21</v>
      </c>
      <c r="J25" s="38">
        <f>(H25*15.5+H25*66.41)*0.82</f>
        <v>58031.596799999992</v>
      </c>
      <c r="K25" s="40">
        <f t="shared" si="1"/>
        <v>0.28002932337357767</v>
      </c>
    </row>
    <row r="26" spans="1:11" x14ac:dyDescent="0.25">
      <c r="A26" s="2"/>
      <c r="B26" s="2">
        <v>2011</v>
      </c>
      <c r="C26" s="38">
        <v>475000</v>
      </c>
      <c r="D26" s="2">
        <v>2007</v>
      </c>
      <c r="E26" s="38">
        <v>204085</v>
      </c>
      <c r="F26" s="38">
        <v>14583</v>
      </c>
      <c r="G26" s="38">
        <f t="shared" si="0"/>
        <v>256332</v>
      </c>
      <c r="H26" s="37">
        <v>1600</v>
      </c>
      <c r="I26" s="7" t="s">
        <v>78</v>
      </c>
      <c r="J26" s="38">
        <f>(H26*15.5+H26*64.11*1.11)*0.96</f>
        <v>133112.98560000001</v>
      </c>
      <c r="K26" s="40">
        <f t="shared" si="1"/>
        <v>0.51929913393567717</v>
      </c>
    </row>
    <row r="27" spans="1:11" x14ac:dyDescent="0.25">
      <c r="A27" s="2"/>
      <c r="B27" s="2">
        <v>2011</v>
      </c>
      <c r="C27" s="38">
        <v>607500</v>
      </c>
      <c r="D27" s="2">
        <v>1996</v>
      </c>
      <c r="E27" s="38">
        <v>35154</v>
      </c>
      <c r="F27" s="38">
        <v>37670</v>
      </c>
      <c r="G27" s="38">
        <f t="shared" si="0"/>
        <v>534676</v>
      </c>
      <c r="H27" s="37">
        <v>4120</v>
      </c>
      <c r="I27" s="7" t="s">
        <v>77</v>
      </c>
      <c r="J27" s="38">
        <f>+(H27*15.5*1.45+H27*77.8*1.35)*0.83</f>
        <v>436016.09800000006</v>
      </c>
      <c r="K27" s="40">
        <f t="shared" si="1"/>
        <v>0.81547721984903021</v>
      </c>
    </row>
    <row r="28" spans="1:11" x14ac:dyDescent="0.25">
      <c r="A28" s="2"/>
      <c r="B28" s="2">
        <v>2010</v>
      </c>
      <c r="C28" s="38">
        <v>870000</v>
      </c>
      <c r="D28" s="2">
        <v>2004</v>
      </c>
      <c r="E28" s="38">
        <v>520117</v>
      </c>
      <c r="F28" s="38">
        <v>13748</v>
      </c>
      <c r="G28" s="38">
        <f t="shared" si="0"/>
        <v>336135</v>
      </c>
      <c r="H28" s="37">
        <v>2850</v>
      </c>
      <c r="I28" s="7" t="s">
        <v>21</v>
      </c>
      <c r="J28" s="38">
        <f>(H28*15.5+H28*66.41)*0.9</f>
        <v>210099.15</v>
      </c>
      <c r="K28" s="40">
        <f t="shared" si="1"/>
        <v>0.62504395555357217</v>
      </c>
    </row>
    <row r="29" spans="1:11" x14ac:dyDescent="0.25">
      <c r="A29" s="2" t="s">
        <v>55</v>
      </c>
      <c r="B29" s="2">
        <v>2010</v>
      </c>
      <c r="C29" s="38">
        <v>78000</v>
      </c>
      <c r="D29" s="2">
        <v>2001</v>
      </c>
      <c r="E29" s="38">
        <v>25000</v>
      </c>
      <c r="F29" s="38">
        <v>31084</v>
      </c>
      <c r="G29" s="38">
        <f t="shared" si="0"/>
        <v>21916</v>
      </c>
      <c r="H29" s="37">
        <v>680</v>
      </c>
      <c r="I29" s="7" t="s">
        <v>21</v>
      </c>
      <c r="J29" s="38">
        <f>(H29*15.5+H29*66.41)*0.84</f>
        <v>46786.991999999991</v>
      </c>
      <c r="K29" s="40">
        <f t="shared" si="1"/>
        <v>2.1348326336922794</v>
      </c>
    </row>
    <row r="30" spans="1:11" x14ac:dyDescent="0.25">
      <c r="A30" s="2"/>
      <c r="B30" s="2">
        <v>2010</v>
      </c>
      <c r="C30" s="38">
        <v>72500</v>
      </c>
      <c r="D30" s="2">
        <v>2006</v>
      </c>
      <c r="E30" s="38">
        <v>8410</v>
      </c>
      <c r="F30" s="38">
        <v>0</v>
      </c>
      <c r="G30" s="38">
        <f t="shared" si="0"/>
        <v>64090</v>
      </c>
      <c r="H30" s="37">
        <v>1482</v>
      </c>
      <c r="I30" s="7" t="s">
        <v>21</v>
      </c>
      <c r="J30" s="38">
        <f>(H30*15.5+H30*66.41)*0.93</f>
        <v>112893.2766</v>
      </c>
      <c r="K30" s="40">
        <f t="shared" si="1"/>
        <v>1.7614803651115618</v>
      </c>
    </row>
    <row r="31" spans="1:11" x14ac:dyDescent="0.25">
      <c r="A31" s="2"/>
      <c r="B31" s="2">
        <v>2012</v>
      </c>
      <c r="C31" s="38">
        <v>235000</v>
      </c>
      <c r="D31" s="2">
        <v>2004</v>
      </c>
      <c r="E31" s="38">
        <v>11050</v>
      </c>
      <c r="F31" s="38">
        <v>19480</v>
      </c>
      <c r="G31" s="38">
        <f t="shared" si="0"/>
        <v>204470</v>
      </c>
      <c r="H31" s="37">
        <v>2952</v>
      </c>
      <c r="I31" s="7" t="s">
        <v>21</v>
      </c>
      <c r="J31" s="38">
        <f>(H31*15.5+H31*66.41)*0.9</f>
        <v>217618.48799999998</v>
      </c>
      <c r="K31" s="40">
        <f t="shared" si="1"/>
        <v>1.0643052183694428</v>
      </c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 t="s">
        <v>35</v>
      </c>
      <c r="K32" s="40">
        <f>MEDIAN(K7:K31)</f>
        <v>1.0937923579113453</v>
      </c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 t="s">
        <v>36</v>
      </c>
      <c r="K33" s="40">
        <f>AVERAGE(K7:K31)</f>
        <v>1.3153803949388949</v>
      </c>
    </row>
    <row r="35" spans="1:11" ht="15.75" x14ac:dyDescent="0.25">
      <c r="C35" s="31" t="s">
        <v>42</v>
      </c>
      <c r="D35" s="31" t="s">
        <v>43</v>
      </c>
      <c r="E35" s="58" t="s">
        <v>72</v>
      </c>
      <c r="F35" s="31" t="s">
        <v>45</v>
      </c>
      <c r="G35" s="56"/>
    </row>
    <row r="36" spans="1:11" ht="15.75" x14ac:dyDescent="0.25">
      <c r="C36" s="43" t="s">
        <v>66</v>
      </c>
      <c r="D36" s="54">
        <v>58.32</v>
      </c>
      <c r="E36" s="55">
        <v>66.41</v>
      </c>
      <c r="F36" s="54">
        <v>77.8</v>
      </c>
      <c r="G36" s="57"/>
    </row>
    <row r="38" spans="1:11" ht="15.75" x14ac:dyDescent="0.25">
      <c r="A38" s="30" t="s">
        <v>41</v>
      </c>
      <c r="B38" s="31" t="s">
        <v>49</v>
      </c>
      <c r="C38" s="31" t="s">
        <v>43</v>
      </c>
      <c r="D38" s="31" t="s">
        <v>48</v>
      </c>
      <c r="E38" s="31" t="s">
        <v>44</v>
      </c>
      <c r="F38" s="31" t="s">
        <v>80</v>
      </c>
      <c r="G38" s="31" t="s">
        <v>45</v>
      </c>
      <c r="H38" s="31" t="s">
        <v>81</v>
      </c>
    </row>
    <row r="39" spans="1:11" ht="15.75" x14ac:dyDescent="0.25">
      <c r="A39" s="32" t="s">
        <v>42</v>
      </c>
      <c r="B39" s="33">
        <v>0.4</v>
      </c>
      <c r="C39" s="33">
        <v>0.55000000000000004</v>
      </c>
      <c r="D39" s="33">
        <v>0.75</v>
      </c>
      <c r="E39" s="33">
        <v>1</v>
      </c>
      <c r="F39" s="33">
        <v>1.25</v>
      </c>
      <c r="G39" s="33">
        <v>1.45</v>
      </c>
      <c r="H39" s="33">
        <v>1.7</v>
      </c>
    </row>
    <row r="40" spans="1:11" ht="15.75" x14ac:dyDescent="0.25">
      <c r="A40" s="32" t="s">
        <v>50</v>
      </c>
      <c r="B40" s="33">
        <v>0.7</v>
      </c>
      <c r="C40" s="33">
        <v>0.8</v>
      </c>
      <c r="D40" s="33">
        <v>0.9</v>
      </c>
      <c r="E40" s="33">
        <v>1</v>
      </c>
      <c r="F40" s="33">
        <v>1.1499999999999999</v>
      </c>
      <c r="G40" s="33">
        <v>1.3</v>
      </c>
      <c r="H40" s="33">
        <v>1.45</v>
      </c>
    </row>
    <row r="43" spans="1:11" ht="15.75" x14ac:dyDescent="0.25">
      <c r="A43" s="30" t="s">
        <v>63</v>
      </c>
      <c r="B43" s="31" t="s">
        <v>64</v>
      </c>
      <c r="C43" s="31" t="s">
        <v>43</v>
      </c>
      <c r="D43" s="31" t="s">
        <v>44</v>
      </c>
      <c r="E43" s="31" t="s">
        <v>45</v>
      </c>
      <c r="F43" s="31" t="s">
        <v>82</v>
      </c>
      <c r="G43" s="31" t="s">
        <v>83</v>
      </c>
    </row>
    <row r="44" spans="1:11" ht="15.75" x14ac:dyDescent="0.25">
      <c r="A44" s="32" t="s">
        <v>65</v>
      </c>
      <c r="B44" s="39">
        <v>30</v>
      </c>
      <c r="C44" s="39">
        <v>35</v>
      </c>
      <c r="D44" s="39">
        <v>40</v>
      </c>
      <c r="E44" s="39">
        <v>45</v>
      </c>
      <c r="F44" s="39">
        <v>50</v>
      </c>
      <c r="G44" s="39">
        <v>55</v>
      </c>
    </row>
    <row r="47" spans="1:11" ht="15.75" x14ac:dyDescent="0.25">
      <c r="A47" s="52" t="s">
        <v>76</v>
      </c>
      <c r="B47" s="52">
        <v>2013</v>
      </c>
      <c r="C47" s="52" t="s">
        <v>77</v>
      </c>
      <c r="D47" s="50">
        <v>5376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6"/>
  <sheetViews>
    <sheetView workbookViewId="0">
      <selection activeCell="L34" sqref="L34"/>
    </sheetView>
  </sheetViews>
  <sheetFormatPr defaultRowHeight="15" x14ac:dyDescent="0.25"/>
  <cols>
    <col min="1" max="1" width="15.7109375" bestFit="1" customWidth="1"/>
    <col min="2" max="2" width="9.28515625" bestFit="1" customWidth="1"/>
    <col min="3" max="3" width="12.5703125" bestFit="1" customWidth="1"/>
    <col min="4" max="4" width="9" bestFit="1" customWidth="1"/>
    <col min="5" max="5" width="10" bestFit="1" customWidth="1"/>
    <col min="6" max="6" width="9.42578125" bestFit="1" customWidth="1"/>
    <col min="7" max="7" width="10" bestFit="1" customWidth="1"/>
    <col min="8" max="8" width="8.5703125" bestFit="1" customWidth="1"/>
    <col min="9" max="9" width="7.42578125" bestFit="1" customWidth="1"/>
    <col min="10" max="10" width="11.5703125" bestFit="1" customWidth="1"/>
    <col min="11" max="11" width="5.5703125" bestFit="1" customWidth="1"/>
  </cols>
  <sheetData>
    <row r="6" spans="1:12" x14ac:dyDescent="0.25">
      <c r="A6" s="3" t="s">
        <v>0</v>
      </c>
      <c r="B6" s="3" t="s">
        <v>54</v>
      </c>
      <c r="C6" s="3" t="s">
        <v>62</v>
      </c>
      <c r="D6" s="3" t="s">
        <v>56</v>
      </c>
      <c r="E6" s="3" t="s">
        <v>60</v>
      </c>
      <c r="F6" s="3" t="s">
        <v>61</v>
      </c>
      <c r="G6" s="3" t="s">
        <v>59</v>
      </c>
      <c r="H6" s="3" t="s">
        <v>5</v>
      </c>
      <c r="I6" s="3" t="s">
        <v>3</v>
      </c>
      <c r="J6" s="3" t="s">
        <v>58</v>
      </c>
      <c r="K6" s="3" t="s">
        <v>53</v>
      </c>
      <c r="L6" s="3" t="s">
        <v>73</v>
      </c>
    </row>
    <row r="7" spans="1:12" x14ac:dyDescent="0.25">
      <c r="A7" s="2" t="s">
        <v>4</v>
      </c>
      <c r="B7" s="2">
        <v>2011</v>
      </c>
      <c r="C7" s="38">
        <v>162500</v>
      </c>
      <c r="D7" s="2">
        <v>2003</v>
      </c>
      <c r="E7" s="38">
        <v>98760</v>
      </c>
      <c r="F7" s="38"/>
      <c r="G7" s="38">
        <f t="shared" ref="G7:G31" si="0">C7-E7-F7</f>
        <v>63740</v>
      </c>
      <c r="H7" s="37">
        <v>1425</v>
      </c>
      <c r="I7" s="7" t="s">
        <v>21</v>
      </c>
      <c r="J7" s="38">
        <f>(H7*15.5+H7*58.32)*0.88</f>
        <v>92570.28</v>
      </c>
      <c r="K7" s="40">
        <f>J7/G7</f>
        <v>1.4523106369626608</v>
      </c>
      <c r="L7" s="40">
        <f>ABS(K7-0.95)</f>
        <v>0.50231063696266087</v>
      </c>
    </row>
    <row r="8" spans="1:12" x14ac:dyDescent="0.25">
      <c r="A8" s="2"/>
      <c r="B8" s="2">
        <v>2011</v>
      </c>
      <c r="C8" s="38">
        <v>129000</v>
      </c>
      <c r="D8" s="2">
        <v>2006</v>
      </c>
      <c r="E8" s="38">
        <v>49290</v>
      </c>
      <c r="F8" s="38"/>
      <c r="G8" s="38">
        <f t="shared" si="0"/>
        <v>79710</v>
      </c>
      <c r="H8" s="37">
        <v>1400</v>
      </c>
      <c r="I8" s="7" t="s">
        <v>78</v>
      </c>
      <c r="J8" s="38">
        <f>(H8*15.5+H8*58.32*1.11)*0.94</f>
        <v>105589.52320000001</v>
      </c>
      <c r="K8" s="40">
        <f t="shared" ref="K8:K31" si="1">J8/G8</f>
        <v>1.3246709722744952</v>
      </c>
      <c r="L8" s="40">
        <f t="shared" ref="L8:L31" si="2">ABS(K8-0.95)</f>
        <v>0.3746709722744952</v>
      </c>
    </row>
    <row r="9" spans="1:12" x14ac:dyDescent="0.25">
      <c r="A9" s="2"/>
      <c r="B9" s="2">
        <v>2011</v>
      </c>
      <c r="C9" s="38">
        <v>266000</v>
      </c>
      <c r="D9" s="2">
        <v>1999</v>
      </c>
      <c r="E9" s="38">
        <v>131900</v>
      </c>
      <c r="F9" s="38">
        <v>10200</v>
      </c>
      <c r="G9" s="38">
        <f t="shared" si="0"/>
        <v>123900</v>
      </c>
      <c r="H9" s="37">
        <v>900</v>
      </c>
      <c r="I9" s="7" t="s">
        <v>21</v>
      </c>
      <c r="J9" s="38">
        <f>(H9*15.5+H9*58.32)*0.8</f>
        <v>53150.400000000001</v>
      </c>
      <c r="K9" s="40">
        <f t="shared" si="1"/>
        <v>0.42897820823244553</v>
      </c>
      <c r="L9" s="40">
        <f t="shared" si="2"/>
        <v>0.52102179176755437</v>
      </c>
    </row>
    <row r="10" spans="1:12" x14ac:dyDescent="0.25">
      <c r="A10" s="2"/>
      <c r="B10" s="2">
        <v>2010</v>
      </c>
      <c r="C10" s="38">
        <v>70000</v>
      </c>
      <c r="D10" s="2">
        <v>2001</v>
      </c>
      <c r="E10" s="38">
        <v>12800</v>
      </c>
      <c r="F10" s="38">
        <v>9720</v>
      </c>
      <c r="G10" s="38">
        <f t="shared" si="0"/>
        <v>47480</v>
      </c>
      <c r="H10" s="37">
        <v>1260</v>
      </c>
      <c r="I10" s="7" t="s">
        <v>21</v>
      </c>
      <c r="J10" s="38">
        <f>(H10*15.5+H10*58.32)*0.87</f>
        <v>80921.483999999997</v>
      </c>
      <c r="K10" s="40">
        <f t="shared" si="1"/>
        <v>1.7043278011794438</v>
      </c>
      <c r="L10" s="40">
        <f t="shared" si="2"/>
        <v>0.75432780117944387</v>
      </c>
    </row>
    <row r="11" spans="1:12" x14ac:dyDescent="0.25">
      <c r="A11" s="2"/>
      <c r="B11" s="2">
        <v>2010</v>
      </c>
      <c r="C11" s="38">
        <v>170500</v>
      </c>
      <c r="D11" s="2">
        <v>2005</v>
      </c>
      <c r="E11" s="38">
        <v>40600</v>
      </c>
      <c r="F11" s="38">
        <v>1300</v>
      </c>
      <c r="G11" s="38">
        <f t="shared" si="0"/>
        <v>128600</v>
      </c>
      <c r="H11" s="37">
        <v>1800</v>
      </c>
      <c r="I11" s="7" t="s">
        <v>21</v>
      </c>
      <c r="J11" s="38">
        <f>(H11*15.5+H11*58.32)*0.91</f>
        <v>120917.16</v>
      </c>
      <c r="K11" s="40">
        <f t="shared" si="1"/>
        <v>0.94025785381026439</v>
      </c>
      <c r="L11" s="40">
        <f t="shared" si="2"/>
        <v>9.7421461897355677E-3</v>
      </c>
    </row>
    <row r="12" spans="1:12" x14ac:dyDescent="0.25">
      <c r="A12" s="2" t="s">
        <v>18</v>
      </c>
      <c r="B12" s="2">
        <v>2012</v>
      </c>
      <c r="C12" s="38">
        <v>201250</v>
      </c>
      <c r="D12" s="2">
        <v>2006</v>
      </c>
      <c r="E12" s="38">
        <v>55590</v>
      </c>
      <c r="F12" s="38">
        <v>9230</v>
      </c>
      <c r="G12" s="38">
        <f t="shared" si="0"/>
        <v>136430</v>
      </c>
      <c r="H12" s="37">
        <v>900</v>
      </c>
      <c r="I12" s="7" t="s">
        <v>57</v>
      </c>
      <c r="J12" s="38">
        <f>(H12*15.5+H12*58.32*0.94)*0.93</f>
        <v>58858.509599999998</v>
      </c>
      <c r="K12" s="40">
        <f t="shared" si="1"/>
        <v>0.43141911309829217</v>
      </c>
      <c r="L12" s="40">
        <f t="shared" si="2"/>
        <v>0.51858088690170778</v>
      </c>
    </row>
    <row r="13" spans="1:12" x14ac:dyDescent="0.25">
      <c r="A13" s="2"/>
      <c r="B13" s="2">
        <v>2011</v>
      </c>
      <c r="C13" s="38">
        <v>169000</v>
      </c>
      <c r="D13" s="2">
        <v>2005</v>
      </c>
      <c r="E13" s="38">
        <v>60500</v>
      </c>
      <c r="F13" s="38">
        <v>21133</v>
      </c>
      <c r="G13" s="38">
        <f t="shared" si="0"/>
        <v>87367</v>
      </c>
      <c r="H13" s="37">
        <v>750</v>
      </c>
      <c r="I13" s="7" t="s">
        <v>21</v>
      </c>
      <c r="J13" s="38">
        <f>(H13*15.5+H13*58.32)*0.91</f>
        <v>50382.15</v>
      </c>
      <c r="K13" s="40">
        <f t="shared" si="1"/>
        <v>0.57667254226424169</v>
      </c>
      <c r="L13" s="40">
        <f t="shared" si="2"/>
        <v>0.37332745773575826</v>
      </c>
    </row>
    <row r="14" spans="1:12" x14ac:dyDescent="0.25">
      <c r="A14" s="2"/>
      <c r="B14" s="36">
        <v>2008</v>
      </c>
      <c r="C14" s="38">
        <v>110000</v>
      </c>
      <c r="D14" s="2">
        <v>2007</v>
      </c>
      <c r="E14" s="38">
        <v>73000</v>
      </c>
      <c r="F14" s="38">
        <v>10800</v>
      </c>
      <c r="G14" s="38">
        <f t="shared" si="0"/>
        <v>26200</v>
      </c>
      <c r="H14" s="37">
        <v>600</v>
      </c>
      <c r="I14" s="7" t="s">
        <v>21</v>
      </c>
      <c r="J14" s="38">
        <f>(H14*15.5+H14*58.32)*0.95</f>
        <v>42077.4</v>
      </c>
      <c r="K14" s="40">
        <f t="shared" si="1"/>
        <v>1.6060076335877864</v>
      </c>
      <c r="L14" s="40">
        <f t="shared" si="2"/>
        <v>0.65600763358778647</v>
      </c>
    </row>
    <row r="15" spans="1:12" x14ac:dyDescent="0.25">
      <c r="A15" s="2"/>
      <c r="B15" s="36">
        <v>2010</v>
      </c>
      <c r="C15" s="38">
        <v>106000</v>
      </c>
      <c r="D15" s="2">
        <v>2007</v>
      </c>
      <c r="E15" s="38">
        <v>73000</v>
      </c>
      <c r="F15" s="38">
        <v>10800</v>
      </c>
      <c r="G15" s="38">
        <f t="shared" si="0"/>
        <v>22200</v>
      </c>
      <c r="H15" s="37">
        <v>600</v>
      </c>
      <c r="I15" s="7" t="s">
        <v>21</v>
      </c>
      <c r="J15" s="38">
        <f>(H15*15.5+H15*58.32)*0.95</f>
        <v>42077.4</v>
      </c>
      <c r="K15" s="40">
        <f t="shared" si="1"/>
        <v>1.8953783783783784</v>
      </c>
      <c r="L15" s="40">
        <f t="shared" si="2"/>
        <v>0.94537837837837846</v>
      </c>
    </row>
    <row r="16" spans="1:12" x14ac:dyDescent="0.25">
      <c r="A16" s="2"/>
      <c r="B16" s="36">
        <v>2008</v>
      </c>
      <c r="C16" s="38">
        <v>87500</v>
      </c>
      <c r="D16" s="2">
        <v>2001</v>
      </c>
      <c r="E16" s="38">
        <v>36400</v>
      </c>
      <c r="F16" s="38">
        <v>11076</v>
      </c>
      <c r="G16" s="38">
        <f t="shared" si="0"/>
        <v>40024</v>
      </c>
      <c r="H16" s="37">
        <v>900</v>
      </c>
      <c r="I16" s="7" t="s">
        <v>21</v>
      </c>
      <c r="J16" s="38">
        <f>(H16*15.5+H16*58.32)*0.84</f>
        <v>55807.92</v>
      </c>
      <c r="K16" s="40">
        <f t="shared" si="1"/>
        <v>1.3943613831700978</v>
      </c>
      <c r="L16" s="40">
        <f t="shared" si="2"/>
        <v>0.44436138317009788</v>
      </c>
    </row>
    <row r="17" spans="1:13" x14ac:dyDescent="0.25">
      <c r="A17" s="2"/>
      <c r="B17" s="36">
        <v>2012</v>
      </c>
      <c r="C17" s="38">
        <v>115000</v>
      </c>
      <c r="D17" s="2">
        <v>2001</v>
      </c>
      <c r="E17" s="38">
        <v>36400</v>
      </c>
      <c r="F17" s="38">
        <v>11076</v>
      </c>
      <c r="G17" s="38">
        <f t="shared" si="0"/>
        <v>67524</v>
      </c>
      <c r="H17" s="37">
        <v>900</v>
      </c>
      <c r="I17" s="7" t="s">
        <v>21</v>
      </c>
      <c r="J17" s="38">
        <f>(H17*15.5+H17*58.32)*0.84</f>
        <v>55807.92</v>
      </c>
      <c r="K17" s="40">
        <f t="shared" si="1"/>
        <v>0.82649013684023453</v>
      </c>
      <c r="L17" s="40">
        <f t="shared" si="2"/>
        <v>0.12350986315976542</v>
      </c>
    </row>
    <row r="18" spans="1:13" x14ac:dyDescent="0.25">
      <c r="A18" s="2"/>
      <c r="B18" s="2">
        <v>2012</v>
      </c>
      <c r="C18" s="38">
        <v>60000</v>
      </c>
      <c r="D18" s="2">
        <v>2004</v>
      </c>
      <c r="E18" s="38">
        <v>30000</v>
      </c>
      <c r="F18" s="38">
        <v>9467</v>
      </c>
      <c r="G18" s="38">
        <f t="shared" si="0"/>
        <v>20533</v>
      </c>
      <c r="H18" s="37">
        <v>1260</v>
      </c>
      <c r="I18" s="7" t="s">
        <v>57</v>
      </c>
      <c r="J18" s="38">
        <f>(H18*15.5+H18*58.32*0.94)*0.9</f>
        <v>79743.787200000006</v>
      </c>
      <c r="K18" s="40">
        <f t="shared" si="1"/>
        <v>3.8836890469001122</v>
      </c>
      <c r="L18" s="40">
        <f t="shared" si="2"/>
        <v>2.9336890469001125</v>
      </c>
    </row>
    <row r="19" spans="1:13" x14ac:dyDescent="0.25">
      <c r="A19" s="2"/>
      <c r="B19" s="2">
        <v>2011</v>
      </c>
      <c r="C19" s="38">
        <v>125000</v>
      </c>
      <c r="D19" s="2">
        <v>2006</v>
      </c>
      <c r="E19" s="38">
        <v>62000</v>
      </c>
      <c r="F19" s="38">
        <v>16006</v>
      </c>
      <c r="G19" s="38">
        <f t="shared" si="0"/>
        <v>46994</v>
      </c>
      <c r="H19" s="37">
        <v>1200</v>
      </c>
      <c r="I19" s="7" t="s">
        <v>21</v>
      </c>
      <c r="J19" s="38">
        <f>(H19*15.5+H19*58.32)*0.93</f>
        <v>82383.12000000001</v>
      </c>
      <c r="K19" s="40">
        <f t="shared" si="1"/>
        <v>1.7530561348257225</v>
      </c>
      <c r="L19" s="40">
        <f t="shared" si="2"/>
        <v>0.80305613482572258</v>
      </c>
    </row>
    <row r="20" spans="1:13" x14ac:dyDescent="0.25">
      <c r="A20" s="2"/>
      <c r="B20" s="2">
        <v>2010</v>
      </c>
      <c r="C20" s="38">
        <v>158900</v>
      </c>
      <c r="D20" s="2">
        <v>2008</v>
      </c>
      <c r="E20" s="38">
        <v>37803</v>
      </c>
      <c r="F20" s="38">
        <v>27088</v>
      </c>
      <c r="G20" s="38">
        <f t="shared" si="0"/>
        <v>94009</v>
      </c>
      <c r="H20" s="37">
        <v>2016</v>
      </c>
      <c r="I20" s="7" t="s">
        <v>78</v>
      </c>
      <c r="J20" s="38">
        <f>(H20*15.5+H20*58.32*1.11)*0.97</f>
        <v>156901.53830400002</v>
      </c>
      <c r="K20" s="40">
        <f t="shared" si="1"/>
        <v>1.6690055027071877</v>
      </c>
      <c r="L20" s="40">
        <f t="shared" si="2"/>
        <v>0.71900550270718777</v>
      </c>
    </row>
    <row r="21" spans="1:13" x14ac:dyDescent="0.25">
      <c r="A21" s="2"/>
      <c r="B21" s="2">
        <v>2010</v>
      </c>
      <c r="C21" s="38">
        <v>195000</v>
      </c>
      <c r="D21" s="2">
        <v>2006</v>
      </c>
      <c r="E21" s="38">
        <v>31000</v>
      </c>
      <c r="F21" s="38">
        <v>24153</v>
      </c>
      <c r="G21" s="38">
        <f t="shared" si="0"/>
        <v>139847</v>
      </c>
      <c r="H21" s="37">
        <v>2077</v>
      </c>
      <c r="I21" s="7" t="s">
        <v>78</v>
      </c>
      <c r="J21" s="38">
        <f>(H21*15.5+H21*58.32*1.11)*0.94</f>
        <v>156649.59977599999</v>
      </c>
      <c r="K21" s="40">
        <f t="shared" si="1"/>
        <v>1.1201498764792952</v>
      </c>
      <c r="L21" s="40">
        <f t="shared" si="2"/>
        <v>0.17014987647929525</v>
      </c>
    </row>
    <row r="22" spans="1:13" x14ac:dyDescent="0.25">
      <c r="A22" s="2"/>
      <c r="B22" s="2">
        <v>2012</v>
      </c>
      <c r="C22" s="38">
        <v>239000</v>
      </c>
      <c r="D22" s="2">
        <v>2004</v>
      </c>
      <c r="E22" s="38">
        <v>14950</v>
      </c>
      <c r="F22" s="38">
        <v>49124</v>
      </c>
      <c r="G22" s="38">
        <f t="shared" si="0"/>
        <v>174926</v>
      </c>
      <c r="H22" s="37">
        <v>2074</v>
      </c>
      <c r="I22" s="7" t="s">
        <v>34</v>
      </c>
      <c r="J22" s="38">
        <f>+(H22*15.5*1.45+H22*66.41)*0.92</f>
        <v>169599.69080000001</v>
      </c>
      <c r="K22" s="40">
        <f t="shared" si="1"/>
        <v>0.96955107188182443</v>
      </c>
      <c r="L22" s="40">
        <f t="shared" si="2"/>
        <v>1.9551071881824478E-2</v>
      </c>
    </row>
    <row r="23" spans="1:13" x14ac:dyDescent="0.25">
      <c r="A23" s="2"/>
      <c r="B23" s="2">
        <v>2011</v>
      </c>
      <c r="C23" s="38">
        <v>263000</v>
      </c>
      <c r="D23" s="2">
        <v>2007</v>
      </c>
      <c r="E23" s="38">
        <v>21845</v>
      </c>
      <c r="F23" s="38">
        <v>50280</v>
      </c>
      <c r="G23" s="38">
        <f t="shared" si="0"/>
        <v>190875</v>
      </c>
      <c r="H23" s="37">
        <v>1805</v>
      </c>
      <c r="I23" s="7" t="s">
        <v>34</v>
      </c>
      <c r="J23" s="38">
        <f>+(H23*15.5*1.45+H23*66.41)*0.96</f>
        <v>154019.92799999999</v>
      </c>
      <c r="K23" s="40">
        <f t="shared" si="1"/>
        <v>0.80691514341846748</v>
      </c>
      <c r="L23" s="40">
        <f t="shared" si="2"/>
        <v>0.14308485658153247</v>
      </c>
    </row>
    <row r="24" spans="1:13" x14ac:dyDescent="0.25">
      <c r="A24" s="2"/>
      <c r="B24" s="2">
        <v>2010</v>
      </c>
      <c r="C24" s="38">
        <v>315000</v>
      </c>
      <c r="D24" s="2">
        <v>2006</v>
      </c>
      <c r="E24" s="38">
        <v>18452</v>
      </c>
      <c r="F24" s="38">
        <v>43299</v>
      </c>
      <c r="G24" s="38">
        <f t="shared" si="0"/>
        <v>253249</v>
      </c>
      <c r="H24" s="37">
        <v>1696</v>
      </c>
      <c r="I24" s="7" t="s">
        <v>34</v>
      </c>
      <c r="J24" s="38">
        <f>+(H24*15.5*1.45+H24*66.41)*0.94</f>
        <v>141704.02239999999</v>
      </c>
      <c r="K24" s="40">
        <f t="shared" si="1"/>
        <v>0.5595442524945804</v>
      </c>
      <c r="L24" s="40">
        <f t="shared" si="2"/>
        <v>0.39045574750541956</v>
      </c>
    </row>
    <row r="25" spans="1:13" x14ac:dyDescent="0.25">
      <c r="A25" s="2"/>
      <c r="B25" s="2">
        <v>2010</v>
      </c>
      <c r="C25" s="38">
        <v>335000</v>
      </c>
      <c r="D25" s="2">
        <v>2000</v>
      </c>
      <c r="E25" s="38">
        <v>124850</v>
      </c>
      <c r="F25" s="38">
        <v>2916</v>
      </c>
      <c r="G25" s="38">
        <f t="shared" si="0"/>
        <v>207234</v>
      </c>
      <c r="H25" s="37">
        <v>864</v>
      </c>
      <c r="I25" s="7" t="s">
        <v>21</v>
      </c>
      <c r="J25" s="38">
        <f>(H25*15.5+H25*58.32)*0.82</f>
        <v>52299.993600000002</v>
      </c>
      <c r="K25" s="40">
        <f t="shared" si="1"/>
        <v>0.25237168418309736</v>
      </c>
      <c r="L25" s="40">
        <f t="shared" si="2"/>
        <v>0.69762831581690254</v>
      </c>
    </row>
    <row r="26" spans="1:13" x14ac:dyDescent="0.25">
      <c r="A26" s="2"/>
      <c r="B26" s="2">
        <v>2011</v>
      </c>
      <c r="C26" s="38">
        <v>475000</v>
      </c>
      <c r="D26" s="2">
        <v>2007</v>
      </c>
      <c r="E26" s="38">
        <v>204085</v>
      </c>
      <c r="F26" s="38">
        <v>14583</v>
      </c>
      <c r="G26" s="38">
        <f t="shared" si="0"/>
        <v>256332</v>
      </c>
      <c r="H26" s="37">
        <v>1600</v>
      </c>
      <c r="I26" s="7" t="s">
        <v>78</v>
      </c>
      <c r="J26" s="38">
        <f>(H26*15.5+H26*58.32*1.11)*0.96</f>
        <v>123241.2672</v>
      </c>
      <c r="K26" s="40">
        <f t="shared" si="1"/>
        <v>0.48078767847947196</v>
      </c>
      <c r="L26" s="40">
        <f t="shared" si="2"/>
        <v>0.469212321520528</v>
      </c>
    </row>
    <row r="27" spans="1:13" x14ac:dyDescent="0.25">
      <c r="A27" s="2"/>
      <c r="B27" s="2">
        <v>2011</v>
      </c>
      <c r="C27" s="38">
        <v>607500</v>
      </c>
      <c r="D27" s="2">
        <v>1996</v>
      </c>
      <c r="E27" s="38">
        <v>35154</v>
      </c>
      <c r="F27" s="38">
        <v>37670</v>
      </c>
      <c r="G27" s="38">
        <f t="shared" si="0"/>
        <v>534676</v>
      </c>
      <c r="H27" s="37">
        <v>4120</v>
      </c>
      <c r="I27" s="7" t="s">
        <v>77</v>
      </c>
      <c r="J27" s="38">
        <f>+(H27*15.5*1.45+H27*66.41*1.35)*0.83</f>
        <v>383434.61860000005</v>
      </c>
      <c r="K27" s="40">
        <f t="shared" si="1"/>
        <v>0.71713452371155628</v>
      </c>
      <c r="L27" s="40">
        <f t="shared" si="2"/>
        <v>0.23286547628844367</v>
      </c>
    </row>
    <row r="28" spans="1:13" x14ac:dyDescent="0.25">
      <c r="A28" s="2"/>
      <c r="B28" s="2">
        <v>2010</v>
      </c>
      <c r="C28" s="38">
        <v>870000</v>
      </c>
      <c r="D28" s="2">
        <v>2004</v>
      </c>
      <c r="E28" s="38">
        <v>520117</v>
      </c>
      <c r="F28" s="38">
        <v>13748</v>
      </c>
      <c r="G28" s="38">
        <f t="shared" si="0"/>
        <v>336135</v>
      </c>
      <c r="H28" s="37">
        <v>2850</v>
      </c>
      <c r="I28" s="7" t="s">
        <v>21</v>
      </c>
      <c r="J28" s="38">
        <f>(H28*15.5+H28*58.32)*0.9</f>
        <v>189348.30000000002</v>
      </c>
      <c r="K28" s="40">
        <f t="shared" si="1"/>
        <v>0.56331027712079973</v>
      </c>
      <c r="L28" s="40">
        <f t="shared" si="2"/>
        <v>0.38668972287920023</v>
      </c>
    </row>
    <row r="29" spans="1:13" x14ac:dyDescent="0.25">
      <c r="A29" s="2" t="s">
        <v>55</v>
      </c>
      <c r="B29" s="2">
        <v>2010</v>
      </c>
      <c r="C29" s="38">
        <v>78000</v>
      </c>
      <c r="D29" s="2">
        <v>2001</v>
      </c>
      <c r="E29" s="38">
        <v>25000</v>
      </c>
      <c r="F29" s="38">
        <v>31084</v>
      </c>
      <c r="G29" s="38">
        <f t="shared" si="0"/>
        <v>21916</v>
      </c>
      <c r="H29" s="37">
        <v>680</v>
      </c>
      <c r="I29" s="7" t="s">
        <v>21</v>
      </c>
      <c r="J29" s="38">
        <f>(H29*15.5+H29*58.32)*0.84</f>
        <v>42165.983999999997</v>
      </c>
      <c r="K29" s="40">
        <f t="shared" si="1"/>
        <v>1.9239817484942505</v>
      </c>
      <c r="L29" s="40">
        <f t="shared" si="2"/>
        <v>0.97398174849425057</v>
      </c>
    </row>
    <row r="30" spans="1:13" x14ac:dyDescent="0.25">
      <c r="A30" s="2"/>
      <c r="B30" s="2">
        <v>2010</v>
      </c>
      <c r="C30" s="38">
        <v>72500</v>
      </c>
      <c r="D30" s="2">
        <v>2006</v>
      </c>
      <c r="E30" s="38">
        <v>8410</v>
      </c>
      <c r="F30" s="38">
        <v>0</v>
      </c>
      <c r="G30" s="38">
        <f t="shared" si="0"/>
        <v>64090</v>
      </c>
      <c r="H30" s="37">
        <v>1482</v>
      </c>
      <c r="I30" s="7" t="s">
        <v>21</v>
      </c>
      <c r="J30" s="38">
        <f>(H30*15.5+H30*58.32)*0.93</f>
        <v>101743.15320000002</v>
      </c>
      <c r="K30" s="40">
        <f t="shared" si="1"/>
        <v>1.5875043407707914</v>
      </c>
      <c r="L30" s="40">
        <f t="shared" si="2"/>
        <v>0.63750434077079143</v>
      </c>
    </row>
    <row r="31" spans="1:13" x14ac:dyDescent="0.25">
      <c r="A31" s="2"/>
      <c r="B31" s="2">
        <v>2012</v>
      </c>
      <c r="C31" s="38">
        <v>235000</v>
      </c>
      <c r="D31" s="2">
        <v>2004</v>
      </c>
      <c r="E31" s="38">
        <v>11050</v>
      </c>
      <c r="F31" s="38">
        <v>19480</v>
      </c>
      <c r="G31" s="38">
        <f t="shared" si="0"/>
        <v>204470</v>
      </c>
      <c r="H31" s="37">
        <v>2952</v>
      </c>
      <c r="I31" s="7" t="s">
        <v>21</v>
      </c>
      <c r="J31" s="38">
        <f>(H31*15.5+H31*58.32)*0.9</f>
        <v>196124.97600000002</v>
      </c>
      <c r="K31" s="40">
        <f t="shared" si="1"/>
        <v>0.95918704944490651</v>
      </c>
      <c r="L31" s="40">
        <f t="shared" si="2"/>
        <v>9.1870494449065587E-3</v>
      </c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 t="s">
        <v>35</v>
      </c>
      <c r="K32" s="40">
        <f>MEDIAN(K7:K31)</f>
        <v>0.96955107188182443</v>
      </c>
      <c r="L32" s="40">
        <f>SUM(L7:L31)/25</f>
        <v>0.55237200653613994</v>
      </c>
      <c r="M32" t="s">
        <v>74</v>
      </c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 t="s">
        <v>36</v>
      </c>
      <c r="K33" s="40">
        <f>AVERAGE(K7:K31)</f>
        <v>1.193082519628416</v>
      </c>
      <c r="L33" s="40">
        <f>L32/0.97*100</f>
        <v>56.94556768413814</v>
      </c>
      <c r="M33" t="s">
        <v>75</v>
      </c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3" ht="15.75" x14ac:dyDescent="0.25">
      <c r="A35" s="2"/>
      <c r="B35" s="2"/>
      <c r="C35" s="31" t="s">
        <v>42</v>
      </c>
      <c r="D35" s="31" t="s">
        <v>43</v>
      </c>
      <c r="E35" s="58" t="s">
        <v>72</v>
      </c>
      <c r="F35" s="31" t="s">
        <v>45</v>
      </c>
      <c r="G35" s="56"/>
      <c r="H35" s="2"/>
      <c r="I35" s="2"/>
      <c r="J35" s="2"/>
      <c r="K35" s="2"/>
    </row>
    <row r="36" spans="1:13" ht="15.75" x14ac:dyDescent="0.25">
      <c r="A36" s="2"/>
      <c r="B36" s="2"/>
      <c r="C36" s="43" t="s">
        <v>66</v>
      </c>
      <c r="D36" s="54">
        <v>51.32</v>
      </c>
      <c r="E36" s="55">
        <v>58.32</v>
      </c>
      <c r="F36" s="54">
        <v>66.41</v>
      </c>
      <c r="G36" s="57"/>
      <c r="H36" s="2"/>
      <c r="I36" s="2"/>
      <c r="J36" s="2"/>
      <c r="K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3" ht="15.75" x14ac:dyDescent="0.25">
      <c r="A38" s="30" t="s">
        <v>41</v>
      </c>
      <c r="B38" s="31" t="s">
        <v>49</v>
      </c>
      <c r="C38" s="31" t="s">
        <v>43</v>
      </c>
      <c r="D38" s="31" t="s">
        <v>48</v>
      </c>
      <c r="E38" s="31" t="s">
        <v>44</v>
      </c>
      <c r="F38" s="31" t="s">
        <v>47</v>
      </c>
      <c r="G38" s="31" t="s">
        <v>45</v>
      </c>
      <c r="H38" s="31" t="s">
        <v>46</v>
      </c>
      <c r="I38" s="2"/>
      <c r="J38" s="2"/>
      <c r="K38" s="2"/>
    </row>
    <row r="39" spans="1:13" ht="15.75" x14ac:dyDescent="0.25">
      <c r="A39" s="32" t="s">
        <v>42</v>
      </c>
      <c r="B39" s="33">
        <v>0.4</v>
      </c>
      <c r="C39" s="33">
        <v>0.55000000000000004</v>
      </c>
      <c r="D39" s="33">
        <v>0.75</v>
      </c>
      <c r="E39" s="33">
        <v>1</v>
      </c>
      <c r="F39" s="33">
        <v>1.25</v>
      </c>
      <c r="G39" s="33">
        <v>1.45</v>
      </c>
      <c r="H39" s="33">
        <v>1.7</v>
      </c>
      <c r="I39" s="2"/>
      <c r="J39" s="2"/>
      <c r="K39" s="2"/>
    </row>
    <row r="40" spans="1:13" ht="15.75" x14ac:dyDescent="0.25">
      <c r="A40" s="32" t="s">
        <v>50</v>
      </c>
      <c r="B40" s="33">
        <v>0.82</v>
      </c>
      <c r="C40" s="33">
        <v>0.88</v>
      </c>
      <c r="D40" s="33">
        <v>0.94</v>
      </c>
      <c r="E40" s="33">
        <v>1</v>
      </c>
      <c r="F40" s="33">
        <v>1.1100000000000001</v>
      </c>
      <c r="G40" s="33">
        <v>1.23</v>
      </c>
      <c r="H40" s="33">
        <v>1.35</v>
      </c>
      <c r="I40" s="2"/>
      <c r="J40" s="2"/>
      <c r="K40" s="2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3" ht="15.75" x14ac:dyDescent="0.25">
      <c r="A43" s="30" t="s">
        <v>63</v>
      </c>
      <c r="B43" s="31" t="s">
        <v>64</v>
      </c>
      <c r="C43" s="31" t="s">
        <v>43</v>
      </c>
      <c r="D43" s="31" t="s">
        <v>44</v>
      </c>
      <c r="E43" s="31" t="s">
        <v>45</v>
      </c>
      <c r="F43" s="2"/>
      <c r="G43" s="2"/>
      <c r="H43" s="2"/>
      <c r="I43" s="2"/>
      <c r="J43" s="2"/>
      <c r="K43" s="2"/>
    </row>
    <row r="44" spans="1:13" ht="15.75" x14ac:dyDescent="0.25">
      <c r="A44" s="32" t="s">
        <v>65</v>
      </c>
      <c r="B44" s="39">
        <v>30</v>
      </c>
      <c r="C44" s="39">
        <v>35</v>
      </c>
      <c r="D44" s="39">
        <v>40</v>
      </c>
      <c r="E44" s="39">
        <v>45</v>
      </c>
      <c r="F44" s="2"/>
      <c r="G44" s="2"/>
      <c r="H44" s="2"/>
      <c r="I44" s="2"/>
      <c r="J44" s="2"/>
      <c r="K44" s="2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Cost</vt:lpstr>
      <vt:lpstr>Bldg Cost</vt:lpstr>
      <vt:lpstr>Model Cost</vt:lpstr>
      <vt:lpstr>Int Cost</vt:lpstr>
      <vt:lpstr>Cost to Sales Ratio</vt:lpstr>
      <vt:lpstr>MH Cost to Sales Ratio</vt:lpstr>
      <vt:lpstr>MS House to Sales Ratio</vt:lpstr>
      <vt:lpstr>MS House #2 to Sales Ratio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Ripperger</cp:lastModifiedBy>
  <cp:lastPrinted>2013-04-27T12:52:38Z</cp:lastPrinted>
  <dcterms:created xsi:type="dcterms:W3CDTF">2013-01-23T11:39:38Z</dcterms:created>
  <dcterms:modified xsi:type="dcterms:W3CDTF">2022-04-19T16:02:36Z</dcterms:modified>
</cp:coreProperties>
</file>